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PR25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'APR25'!$B$5:$B$41</definedName>
    <definedName name="_xlnm.Print_Area" localSheetId="0">'APR25'!$A$44:$Z$52</definedName>
  </definedNames>
  <calcPr calcId="125725"/>
</workbook>
</file>

<file path=xl/calcChain.xml><?xml version="1.0" encoding="utf-8"?>
<calcChain xmlns="http://schemas.openxmlformats.org/spreadsheetml/2006/main">
  <c r="K55" i="4"/>
  <c r="I55"/>
  <c r="G55"/>
  <c r="H55" s="1"/>
  <c r="Q52"/>
  <c r="D52"/>
  <c r="W50"/>
  <c r="V50"/>
  <c r="U50"/>
  <c r="T50"/>
  <c r="S50"/>
  <c r="R50"/>
  <c r="Q50"/>
  <c r="P50"/>
  <c r="P52" s="1"/>
  <c r="M50"/>
  <c r="L50"/>
  <c r="J50"/>
  <c r="I50"/>
  <c r="F50"/>
  <c r="C50"/>
  <c r="N46"/>
  <c r="H46"/>
  <c r="G46"/>
  <c r="X41"/>
  <c r="O41"/>
  <c r="N41"/>
  <c r="Y41" s="1"/>
  <c r="G41"/>
  <c r="E41"/>
  <c r="X40"/>
  <c r="O40"/>
  <c r="N40"/>
  <c r="Y40" s="1"/>
  <c r="G40"/>
  <c r="E40" s="1"/>
  <c r="AL37"/>
  <c r="O37"/>
  <c r="X37" s="1"/>
  <c r="K37"/>
  <c r="H37"/>
  <c r="E37" s="1"/>
  <c r="G37"/>
  <c r="AL36"/>
  <c r="K36"/>
  <c r="H36"/>
  <c r="H50" s="1"/>
  <c r="G36"/>
  <c r="O36" s="1"/>
  <c r="X36" s="1"/>
  <c r="E36"/>
  <c r="AL35"/>
  <c r="X35"/>
  <c r="O35"/>
  <c r="N35"/>
  <c r="K35"/>
  <c r="K50" s="1"/>
  <c r="H35"/>
  <c r="G35"/>
  <c r="E35"/>
  <c r="V34"/>
  <c r="S34"/>
  <c r="R34"/>
  <c r="Q34"/>
  <c r="P34"/>
  <c r="M34"/>
  <c r="L34"/>
  <c r="J34"/>
  <c r="G34"/>
  <c r="AL34" s="1"/>
  <c r="F34"/>
  <c r="C34"/>
  <c r="O33"/>
  <c r="X33" s="1"/>
  <c r="K33"/>
  <c r="H33"/>
  <c r="E33" s="1"/>
  <c r="G33"/>
  <c r="AL33" s="1"/>
  <c r="AL32"/>
  <c r="K32"/>
  <c r="H32"/>
  <c r="G32"/>
  <c r="O32" s="1"/>
  <c r="X32" s="1"/>
  <c r="E32"/>
  <c r="K31"/>
  <c r="G31"/>
  <c r="AL30"/>
  <c r="O30"/>
  <c r="X30" s="1"/>
  <c r="N30"/>
  <c r="K30"/>
  <c r="H30"/>
  <c r="E30" s="1"/>
  <c r="G30"/>
  <c r="A30"/>
  <c r="A31" s="1"/>
  <c r="A32" s="1"/>
  <c r="A33" s="1"/>
  <c r="AL29"/>
  <c r="X29"/>
  <c r="AL28"/>
  <c r="U28"/>
  <c r="O28"/>
  <c r="X28" s="1"/>
  <c r="N28"/>
  <c r="K28"/>
  <c r="H28"/>
  <c r="G28"/>
  <c r="E28"/>
  <c r="AL27"/>
  <c r="U27"/>
  <c r="U34" s="1"/>
  <c r="N27"/>
  <c r="Y27" s="1"/>
  <c r="K27"/>
  <c r="H27"/>
  <c r="E27" s="1"/>
  <c r="G27"/>
  <c r="O27" s="1"/>
  <c r="X27" s="1"/>
  <c r="X26"/>
  <c r="G26"/>
  <c r="AL26" s="1"/>
  <c r="AL25"/>
  <c r="N25"/>
  <c r="K25"/>
  <c r="K34" s="1"/>
  <c r="I25"/>
  <c r="I34" s="1"/>
  <c r="H25"/>
  <c r="G25"/>
  <c r="O25" s="1"/>
  <c r="AL24"/>
  <c r="V23"/>
  <c r="V52" s="1"/>
  <c r="U23"/>
  <c r="T23"/>
  <c r="T52" s="1"/>
  <c r="S23"/>
  <c r="R23"/>
  <c r="Q23"/>
  <c r="P23"/>
  <c r="M23"/>
  <c r="L23"/>
  <c r="J23"/>
  <c r="J52" s="1"/>
  <c r="F23"/>
  <c r="K22"/>
  <c r="G22"/>
  <c r="H22" s="1"/>
  <c r="E22" s="1"/>
  <c r="C21"/>
  <c r="E21" s="1"/>
  <c r="X20"/>
  <c r="O20"/>
  <c r="N20"/>
  <c r="Y20" s="1"/>
  <c r="H20"/>
  <c r="E20" s="1"/>
  <c r="G20"/>
  <c r="K19"/>
  <c r="H19"/>
  <c r="E19" s="1"/>
  <c r="G19"/>
  <c r="AL18"/>
  <c r="X18"/>
  <c r="O18"/>
  <c r="K18"/>
  <c r="K23" s="1"/>
  <c r="H18"/>
  <c r="N18" s="1"/>
  <c r="Y18" s="1"/>
  <c r="G18"/>
  <c r="E18"/>
  <c r="K17"/>
  <c r="G17"/>
  <c r="AL17" s="1"/>
  <c r="AL16"/>
  <c r="AL15"/>
  <c r="V14"/>
  <c r="U14"/>
  <c r="U52" s="1"/>
  <c r="S14"/>
  <c r="S52" s="1"/>
  <c r="R14"/>
  <c r="R52" s="1"/>
  <c r="Q14"/>
  <c r="P14"/>
  <c r="M14"/>
  <c r="M52" s="1"/>
  <c r="L14"/>
  <c r="L52" s="1"/>
  <c r="J14"/>
  <c r="F14"/>
  <c r="F52" s="1"/>
  <c r="C14"/>
  <c r="K13"/>
  <c r="G13"/>
  <c r="A13"/>
  <c r="A17" s="1"/>
  <c r="A18" s="1"/>
  <c r="A19" s="1"/>
  <c r="A21" s="1"/>
  <c r="A22" s="1"/>
  <c r="A25" s="1"/>
  <c r="AL12"/>
  <c r="AL11"/>
  <c r="X11"/>
  <c r="O11"/>
  <c r="N11"/>
  <c r="Y11" s="1"/>
  <c r="K11"/>
  <c r="H11"/>
  <c r="G11"/>
  <c r="E11"/>
  <c r="AL10"/>
  <c r="X10"/>
  <c r="N10"/>
  <c r="Y10" s="1"/>
  <c r="G10"/>
  <c r="AL9"/>
  <c r="U9"/>
  <c r="K9"/>
  <c r="K14" s="1"/>
  <c r="H9"/>
  <c r="G9"/>
  <c r="N9" s="1"/>
  <c r="E9"/>
  <c r="A9"/>
  <c r="AL8"/>
  <c r="AL7"/>
  <c r="K7"/>
  <c r="H7"/>
  <c r="G7"/>
  <c r="G14" s="1"/>
  <c r="AL14" s="1"/>
  <c r="X50" l="1"/>
  <c r="O50"/>
  <c r="N50"/>
  <c r="Y9"/>
  <c r="X25"/>
  <c r="N13"/>
  <c r="Y13" s="1"/>
  <c r="K52"/>
  <c r="L53"/>
  <c r="Y28"/>
  <c r="Y25"/>
  <c r="Y30"/>
  <c r="O7"/>
  <c r="C23"/>
  <c r="C52" s="1"/>
  <c r="N7"/>
  <c r="O9"/>
  <c r="X9" s="1"/>
  <c r="I13"/>
  <c r="I14" s="1"/>
  <c r="H13"/>
  <c r="E13" s="1"/>
  <c r="E25"/>
  <c r="H31"/>
  <c r="E31" s="1"/>
  <c r="N32"/>
  <c r="Y32" s="1"/>
  <c r="N36"/>
  <c r="G21"/>
  <c r="O22"/>
  <c r="X22" s="1"/>
  <c r="N33"/>
  <c r="Y33" s="1"/>
  <c r="N37"/>
  <c r="Y37" s="1"/>
  <c r="E7"/>
  <c r="H17"/>
  <c r="O19"/>
  <c r="X19" s="1"/>
  <c r="N22"/>
  <c r="O55"/>
  <c r="X55" s="1"/>
  <c r="N19"/>
  <c r="Y19" s="1"/>
  <c r="G50"/>
  <c r="AL13"/>
  <c r="I22"/>
  <c r="N55"/>
  <c r="I19"/>
  <c r="AL31"/>
  <c r="Y35"/>
  <c r="O13"/>
  <c r="X13" s="1"/>
  <c r="AM36" l="1"/>
  <c r="Y36"/>
  <c r="O14"/>
  <c r="X7"/>
  <c r="Y7" s="1"/>
  <c r="N21"/>
  <c r="Y21" s="1"/>
  <c r="O21"/>
  <c r="X21" s="1"/>
  <c r="E17"/>
  <c r="E52" s="1"/>
  <c r="N17"/>
  <c r="H23"/>
  <c r="Y55"/>
  <c r="N31"/>
  <c r="H34"/>
  <c r="G23"/>
  <c r="Y22"/>
  <c r="AI22"/>
  <c r="N14"/>
  <c r="G52"/>
  <c r="I23"/>
  <c r="I52" s="1"/>
  <c r="Y50"/>
  <c r="O17"/>
  <c r="O31"/>
  <c r="H14"/>
  <c r="X14" l="1"/>
  <c r="N52"/>
  <c r="Y14"/>
  <c r="Y52" s="1"/>
  <c r="F53"/>
  <c r="G58"/>
  <c r="H58" s="1"/>
  <c r="N23"/>
  <c r="Y17"/>
  <c r="Y23" s="1"/>
  <c r="O23"/>
  <c r="O52" s="1"/>
  <c r="X17"/>
  <c r="X23" s="1"/>
  <c r="H52"/>
  <c r="Y31"/>
  <c r="Y34" s="1"/>
  <c r="N34"/>
  <c r="X31"/>
  <c r="X34" s="1"/>
  <c r="O34"/>
  <c r="X52" l="1"/>
</calcChain>
</file>

<file path=xl/comments1.xml><?xml version="1.0" encoding="utf-8"?>
<comments xmlns="http://schemas.openxmlformats.org/spreadsheetml/2006/main">
  <authors>
    <author>Author</author>
  </authors>
  <commentList>
    <comment ref="P9" authorId="0">
      <text/>
    </comment>
    <comment ref="P2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Home Loan availed from  Oct 2020</t>
        </r>
      </text>
    </comment>
    <comment ref="M2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1000/-  handicap allowance</t>
        </r>
      </text>
    </comment>
    <comment ref="U3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FOR 3 MONTHS  NOV22 TO JAN 23</t>
        </r>
      </text>
    </comment>
  </commentList>
</comments>
</file>

<file path=xl/sharedStrings.xml><?xml version="1.0" encoding="utf-8"?>
<sst xmlns="http://schemas.openxmlformats.org/spreadsheetml/2006/main" count="59" uniqueCount="56">
  <si>
    <t/>
  </si>
  <si>
    <t>Salary Bill For the month of APR 25</t>
  </si>
  <si>
    <t>Sr. No.</t>
  </si>
  <si>
    <t>Name</t>
  </si>
  <si>
    <t>PB</t>
  </si>
  <si>
    <t>LVL</t>
  </si>
  <si>
    <t>BP+DA 
TOTAL</t>
  </si>
  <si>
    <t>BASIC</t>
  </si>
  <si>
    <r>
      <t>DA</t>
    </r>
    <r>
      <rPr>
        <b/>
        <u/>
        <sz val="16"/>
        <rFont val="Calibri"/>
        <family val="2"/>
        <scheme val="minor"/>
      </rPr>
      <t xml:space="preserve"> 55</t>
    </r>
  </si>
  <si>
    <t>HRA 20</t>
  </si>
  <si>
    <t>Med All</t>
  </si>
  <si>
    <t>TRVL 
ALL</t>
  </si>
  <si>
    <t>SPL ALL /CNVY</t>
  </si>
  <si>
    <t>Total</t>
  </si>
  <si>
    <t>CPF 12%</t>
  </si>
  <si>
    <t>I. TAX</t>
  </si>
  <si>
    <t>GIS</t>
  </si>
  <si>
    <t>TF</t>
  </si>
  <si>
    <t>other
  AllWNC</t>
  </si>
  <si>
    <t>OTHER/ PENSION</t>
  </si>
  <si>
    <t>LIC FEE</t>
  </si>
  <si>
    <t>Conv. Adv</t>
  </si>
  <si>
    <t>Ded</t>
  </si>
  <si>
    <t>Net Payable</t>
  </si>
  <si>
    <t>SIGN</t>
  </si>
  <si>
    <t>POST OF  (1)  PRINCIPAL  LEVEL 13  RS  123100/ to 215900 ONWARDS</t>
  </si>
  <si>
    <t>Vishal kalia</t>
  </si>
  <si>
    <t>POST OF HOD (2) / SR INSTRUCTOR 3 NO</t>
  </si>
  <si>
    <t>Shashi Bhoria Bhatia</t>
  </si>
  <si>
    <t>J.P KANT</t>
  </si>
  <si>
    <t xml:space="preserve">POST OF  A O (1) </t>
  </si>
  <si>
    <t>Rajesh sharma</t>
  </si>
  <si>
    <t xml:space="preserve">POST OF SR LECTURER CUM SR INSTRUCTOR (S) 3   &amp; 1 Sr Asstt Accounts   And 1 Contract employee </t>
  </si>
  <si>
    <t>Seema Yadav</t>
  </si>
  <si>
    <t>VIVEK NAROTRA</t>
  </si>
  <si>
    <t xml:space="preserve">Achal Bisht  </t>
  </si>
  <si>
    <t>Suresh Chand (CONTRACTUAL)</t>
  </si>
  <si>
    <t>Munish Julka</t>
  </si>
  <si>
    <t xml:space="preserve">POST OF S. KEEPER (1) SCALE </t>
  </si>
  <si>
    <t>Devinder Singh</t>
  </si>
  <si>
    <t>POST OF CLERK  AND JR ASSTT  each</t>
  </si>
  <si>
    <t>Kuldeep Singh</t>
  </si>
  <si>
    <t>RAMKIRAN</t>
  </si>
  <si>
    <t>POST OF ASTT. LECTURER CUM ASTT INSTRUCTOR (S) 6  BASIC 38500 &amp; 44900</t>
  </si>
  <si>
    <t xml:space="preserve">ASHOK KUMAR RAY </t>
  </si>
  <si>
    <t>PANKAJ KAUNDAL</t>
  </si>
  <si>
    <t>SOUMYAJIT BANDYOPADHYAY</t>
  </si>
  <si>
    <t>ANAND MALIK</t>
  </si>
  <si>
    <t xml:space="preserve">MR TARUN </t>
  </si>
  <si>
    <t xml:space="preserve">SH PRANAV BHATT </t>
  </si>
  <si>
    <t xml:space="preserve"> VINAY KUMAR </t>
  </si>
  <si>
    <t xml:space="preserve">POST OF TEACHING ASSOCIATES </t>
  </si>
  <si>
    <t xml:space="preserve">SANDEEP  KHAPRA   </t>
  </si>
  <si>
    <t xml:space="preserve">Ms Chanmeet Kaur </t>
  </si>
  <si>
    <t>GROSS FIG.</t>
  </si>
  <si>
    <t>Rajan   Incr</t>
  </si>
</sst>
</file>

<file path=xl/styles.xml><?xml version="1.0" encoding="utf-8"?>
<styleSheet xmlns="http://schemas.openxmlformats.org/spreadsheetml/2006/main">
  <numFmts count="1">
    <numFmt numFmtId="164" formatCode="0;[Red]0"/>
  </numFmts>
  <fonts count="2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u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17">
    <xf numFmtId="0" fontId="0" fillId="0" borderId="0" xfId="0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/>
    <xf numFmtId="164" fontId="1" fillId="0" borderId="0" xfId="0" quotePrefix="1" applyNumberFormat="1" applyFont="1" applyFill="1"/>
    <xf numFmtId="164" fontId="1" fillId="0" borderId="0" xfId="0" applyNumberFormat="1" applyFont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0" borderId="0" xfId="0" quotePrefix="1" applyNumberFormat="1" applyFont="1"/>
    <xf numFmtId="164" fontId="1" fillId="4" borderId="0" xfId="0" applyNumberFormat="1" applyFont="1" applyFill="1"/>
    <xf numFmtId="164" fontId="1" fillId="5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164" fontId="4" fillId="6" borderId="1" xfId="0" applyNumberFormat="1" applyFont="1" applyFill="1" applyBorder="1" applyAlignment="1">
      <alignment horizontal="center" vertical="top"/>
    </xf>
    <xf numFmtId="164" fontId="3" fillId="6" borderId="2" xfId="0" applyNumberFormat="1" applyFont="1" applyFill="1" applyBorder="1" applyAlignment="1">
      <alignment horizontal="center" vertical="top"/>
    </xf>
    <xf numFmtId="164" fontId="3" fillId="7" borderId="3" xfId="0" applyNumberFormat="1" applyFont="1" applyFill="1" applyBorder="1" applyAlignment="1">
      <alignment horizontal="center" vertical="top"/>
    </xf>
    <xf numFmtId="164" fontId="3" fillId="6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1" fillId="8" borderId="4" xfId="0" applyNumberFormat="1" applyFont="1" applyFill="1" applyBorder="1" applyAlignment="1">
      <alignment horizontal="center" vertical="top"/>
    </xf>
    <xf numFmtId="164" fontId="3" fillId="6" borderId="4" xfId="0" applyNumberFormat="1" applyFont="1" applyFill="1" applyBorder="1" applyAlignment="1">
      <alignment horizontal="center" vertical="top"/>
    </xf>
    <xf numFmtId="164" fontId="3" fillId="8" borderId="4" xfId="0" applyNumberFormat="1" applyFont="1" applyFill="1" applyBorder="1" applyAlignment="1">
      <alignment horizontal="center" vertical="top" wrapText="1"/>
    </xf>
    <xf numFmtId="164" fontId="3" fillId="3" borderId="5" xfId="0" applyNumberFormat="1" applyFont="1" applyFill="1" applyBorder="1" applyAlignment="1">
      <alignment horizontal="center" vertical="top"/>
    </xf>
    <xf numFmtId="164" fontId="3" fillId="0" borderId="6" xfId="0" applyNumberFormat="1" applyFont="1" applyFill="1" applyBorder="1" applyAlignment="1">
      <alignment horizontal="center" vertical="top"/>
    </xf>
    <xf numFmtId="164" fontId="3" fillId="0" borderId="7" xfId="0" applyNumberFormat="1" applyFont="1" applyFill="1" applyBorder="1" applyAlignment="1">
      <alignment horizontal="center" vertical="top"/>
    </xf>
    <xf numFmtId="164" fontId="3" fillId="0" borderId="8" xfId="0" applyNumberFormat="1" applyFont="1" applyFill="1" applyBorder="1" applyAlignment="1">
      <alignment horizontal="center" vertical="top"/>
    </xf>
    <xf numFmtId="164" fontId="1" fillId="9" borderId="8" xfId="0" applyNumberFormat="1" applyFont="1" applyFill="1" applyBorder="1" applyAlignment="1">
      <alignment horizontal="center" vertical="top"/>
    </xf>
    <xf numFmtId="164" fontId="3" fillId="9" borderId="8" xfId="0" applyNumberFormat="1" applyFont="1" applyFill="1" applyBorder="1" applyAlignment="1">
      <alignment horizontal="center" vertical="top" wrapText="1"/>
    </xf>
    <xf numFmtId="164" fontId="6" fillId="9" borderId="8" xfId="0" applyNumberFormat="1" applyFont="1" applyFill="1" applyBorder="1" applyAlignment="1">
      <alignment horizontal="center" vertical="top" wrapText="1"/>
    </xf>
    <xf numFmtId="164" fontId="3" fillId="6" borderId="9" xfId="0" applyNumberFormat="1" applyFont="1" applyFill="1" applyBorder="1" applyAlignment="1">
      <alignment horizontal="center" vertical="top" wrapText="1"/>
    </xf>
    <xf numFmtId="164" fontId="3" fillId="5" borderId="9" xfId="0" applyNumberFormat="1" applyFont="1" applyFill="1" applyBorder="1" applyAlignment="1">
      <alignment horizontal="center" vertical="justify"/>
    </xf>
    <xf numFmtId="164" fontId="3" fillId="6" borderId="8" xfId="0" applyNumberFormat="1" applyFont="1" applyFill="1" applyBorder="1" applyAlignment="1">
      <alignment horizontal="center" vertical="justify"/>
    </xf>
    <xf numFmtId="164" fontId="3" fillId="6" borderId="9" xfId="0" applyNumberFormat="1" applyFont="1" applyFill="1" applyBorder="1" applyAlignment="1">
      <alignment horizontal="center" vertical="justify"/>
    </xf>
    <xf numFmtId="164" fontId="3" fillId="6" borderId="10" xfId="0" applyNumberFormat="1" applyFont="1" applyFill="1" applyBorder="1" applyAlignment="1">
      <alignment horizontal="center" vertical="justify"/>
    </xf>
    <xf numFmtId="164" fontId="3" fillId="0" borderId="0" xfId="0" applyNumberFormat="1" applyFont="1" applyFill="1" applyBorder="1" applyAlignment="1">
      <alignment horizontal="center" vertical="justify"/>
    </xf>
    <xf numFmtId="0" fontId="2" fillId="0" borderId="0" xfId="0" applyFont="1" applyFill="1" applyBorder="1"/>
    <xf numFmtId="164" fontId="2" fillId="6" borderId="0" xfId="0" applyNumberFormat="1" applyFont="1" applyFill="1"/>
    <xf numFmtId="164" fontId="7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/>
    <xf numFmtId="164" fontId="1" fillId="6" borderId="0" xfId="0" applyNumberFormat="1" applyFont="1" applyFill="1"/>
    <xf numFmtId="164" fontId="1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horizontal="center" vertical="top"/>
    </xf>
    <xf numFmtId="164" fontId="3" fillId="2" borderId="13" xfId="0" applyNumberFormat="1" applyFont="1" applyFill="1" applyBorder="1" applyAlignment="1">
      <alignment vertical="top"/>
    </xf>
    <xf numFmtId="164" fontId="1" fillId="0" borderId="14" xfId="0" applyNumberFormat="1" applyFont="1" applyFill="1" applyBorder="1" applyAlignment="1">
      <alignment vertical="top"/>
    </xf>
    <xf numFmtId="164" fontId="1" fillId="0" borderId="11" xfId="0" applyNumberFormat="1" applyFont="1" applyFill="1" applyBorder="1" applyAlignment="1">
      <alignment vertical="center"/>
    </xf>
    <xf numFmtId="164" fontId="1" fillId="3" borderId="15" xfId="0" applyNumberFormat="1" applyFont="1" applyFill="1" applyBorder="1" applyAlignment="1">
      <alignment vertical="center"/>
    </xf>
    <xf numFmtId="164" fontId="1" fillId="0" borderId="15" xfId="0" applyNumberFormat="1" applyFont="1" applyFill="1" applyBorder="1"/>
    <xf numFmtId="0" fontId="1" fillId="0" borderId="0" xfId="0" applyFont="1" applyFill="1"/>
    <xf numFmtId="164" fontId="1" fillId="0" borderId="15" xfId="0" applyNumberFormat="1" applyFont="1" applyFill="1" applyBorder="1" applyAlignment="1">
      <alignment vertical="center"/>
    </xf>
    <xf numFmtId="164" fontId="1" fillId="5" borderId="15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/>
    <xf numFmtId="0" fontId="2" fillId="0" borderId="0" xfId="0" applyFont="1" applyFill="1"/>
    <xf numFmtId="164" fontId="9" fillId="0" borderId="11" xfId="0" applyNumberFormat="1" applyFont="1" applyFill="1" applyBorder="1" applyAlignment="1">
      <alignment horizontal="center"/>
    </xf>
    <xf numFmtId="164" fontId="1" fillId="0" borderId="11" xfId="1" applyNumberFormat="1" applyFont="1" applyFill="1" applyBorder="1" applyAlignment="1">
      <alignment vertical="center" wrapText="1" shrinkToFit="1"/>
    </xf>
    <xf numFmtId="164" fontId="1" fillId="0" borderId="11" xfId="0" quotePrefix="1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vertical="center"/>
    </xf>
    <xf numFmtId="164" fontId="1" fillId="3" borderId="11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64" fontId="1" fillId="5" borderId="11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/>
    </xf>
    <xf numFmtId="164" fontId="1" fillId="0" borderId="11" xfId="0" applyNumberFormat="1" applyFont="1" applyFill="1" applyBorder="1"/>
    <xf numFmtId="0" fontId="10" fillId="0" borderId="0" xfId="0" applyFont="1" applyFill="1"/>
    <xf numFmtId="164" fontId="1" fillId="0" borderId="12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1" xfId="0" quotePrefix="1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164" fontId="11" fillId="10" borderId="11" xfId="0" quotePrefix="1" applyNumberFormat="1" applyFont="1" applyFill="1" applyBorder="1" applyAlignment="1">
      <alignment horizontal="center" vertical="center"/>
    </xf>
    <xf numFmtId="164" fontId="1" fillId="10" borderId="11" xfId="0" applyNumberFormat="1" applyFont="1" applyFill="1" applyBorder="1" applyAlignment="1">
      <alignment vertical="center"/>
    </xf>
    <xf numFmtId="164" fontId="1" fillId="5" borderId="11" xfId="0" applyNumberFormat="1" applyFont="1" applyFill="1" applyBorder="1"/>
    <xf numFmtId="164" fontId="1" fillId="11" borderId="1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1" applyNumberFormat="1" applyFont="1" applyFill="1" applyBorder="1"/>
    <xf numFmtId="164" fontId="3" fillId="0" borderId="17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vertical="center" wrapText="1"/>
    </xf>
    <xf numFmtId="164" fontId="3" fillId="12" borderId="17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/>
    <xf numFmtId="164" fontId="3" fillId="0" borderId="0" xfId="0" applyNumberFormat="1" applyFont="1" applyFill="1" applyBorder="1"/>
    <xf numFmtId="164" fontId="2" fillId="0" borderId="11" xfId="0" applyNumberFormat="1" applyFont="1" applyFill="1" applyBorder="1"/>
    <xf numFmtId="164" fontId="7" fillId="0" borderId="11" xfId="0" applyNumberFormat="1" applyFont="1" applyFill="1" applyBorder="1"/>
    <xf numFmtId="164" fontId="7" fillId="0" borderId="0" xfId="0" applyNumberFormat="1" applyFont="1" applyFill="1" applyBorder="1"/>
    <xf numFmtId="164" fontId="7" fillId="0" borderId="0" xfId="0" applyNumberFormat="1" applyFont="1" applyFill="1"/>
    <xf numFmtId="164" fontId="3" fillId="0" borderId="0" xfId="0" applyNumberFormat="1" applyFont="1" applyFill="1"/>
    <xf numFmtId="164" fontId="3" fillId="6" borderId="0" xfId="0" applyNumberFormat="1" applyFont="1" applyFill="1"/>
    <xf numFmtId="164" fontId="3" fillId="0" borderId="11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vertical="top"/>
    </xf>
    <xf numFmtId="164" fontId="3" fillId="0" borderId="15" xfId="0" applyNumberFormat="1" applyFont="1" applyFill="1" applyBorder="1"/>
    <xf numFmtId="164" fontId="3" fillId="0" borderId="15" xfId="0" applyNumberFormat="1" applyFont="1" applyFill="1" applyBorder="1" applyAlignment="1">
      <alignment horizontal="center"/>
    </xf>
    <xf numFmtId="164" fontId="3" fillId="2" borderId="15" xfId="0" applyNumberFormat="1" applyFont="1" applyFill="1" applyBorder="1"/>
    <xf numFmtId="164" fontId="3" fillId="3" borderId="15" xfId="0" applyNumberFormat="1" applyFont="1" applyFill="1" applyBorder="1" applyAlignment="1">
      <alignment vertical="center"/>
    </xf>
    <xf numFmtId="164" fontId="3" fillId="5" borderId="15" xfId="0" applyNumberFormat="1" applyFont="1" applyFill="1" applyBorder="1"/>
    <xf numFmtId="164" fontId="3" fillId="0" borderId="15" xfId="0" applyNumberFormat="1" applyFont="1" applyFill="1" applyBorder="1" applyAlignment="1">
      <alignment vertical="center"/>
    </xf>
    <xf numFmtId="164" fontId="3" fillId="6" borderId="11" xfId="0" applyNumberFormat="1" applyFont="1" applyFill="1" applyBorder="1" applyAlignment="1">
      <alignment horizontal="center" vertical="justify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1" fillId="0" borderId="18" xfId="0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horizontal="center" vertical="top"/>
    </xf>
    <xf numFmtId="164" fontId="12" fillId="0" borderId="11" xfId="0" applyNumberFormat="1" applyFont="1" applyFill="1" applyBorder="1" applyAlignment="1">
      <alignment vertical="center"/>
    </xf>
    <xf numFmtId="164" fontId="13" fillId="0" borderId="11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4" fontId="10" fillId="0" borderId="0" xfId="0" applyNumberFormat="1" applyFont="1" applyFill="1"/>
    <xf numFmtId="164" fontId="3" fillId="0" borderId="11" xfId="1" applyNumberFormat="1" applyFont="1" applyFill="1" applyBorder="1"/>
    <xf numFmtId="164" fontId="3" fillId="9" borderId="17" xfId="0" applyNumberFormat="1" applyFont="1" applyFill="1" applyBorder="1" applyAlignment="1">
      <alignment vertical="center" wrapText="1"/>
    </xf>
    <xf numFmtId="164" fontId="3" fillId="9" borderId="20" xfId="0" applyNumberFormat="1" applyFont="1" applyFill="1" applyBorder="1" applyAlignment="1">
      <alignment vertical="center" wrapText="1"/>
    </xf>
    <xf numFmtId="164" fontId="3" fillId="12" borderId="20" xfId="0" applyNumberFormat="1" applyFont="1" applyFill="1" applyBorder="1" applyAlignment="1">
      <alignment vertical="center" wrapText="1"/>
    </xf>
    <xf numFmtId="164" fontId="3" fillId="0" borderId="11" xfId="0" applyNumberFormat="1" applyFont="1" applyFill="1" applyBorder="1"/>
    <xf numFmtId="164" fontId="3" fillId="0" borderId="15" xfId="0" applyNumberFormat="1" applyFont="1" applyFill="1" applyBorder="1" applyAlignment="1">
      <alignment vertical="top"/>
    </xf>
    <xf numFmtId="164" fontId="3" fillId="0" borderId="15" xfId="0" applyNumberFormat="1" applyFont="1" applyFill="1" applyBorder="1" applyAlignment="1">
      <alignment horizontal="center" vertical="top"/>
    </xf>
    <xf numFmtId="164" fontId="3" fillId="2" borderId="15" xfId="0" applyNumberFormat="1" applyFont="1" applyFill="1" applyBorder="1" applyAlignment="1">
      <alignment vertical="top"/>
    </xf>
    <xf numFmtId="164" fontId="1" fillId="0" borderId="15" xfId="0" applyNumberFormat="1" applyFont="1" applyFill="1" applyBorder="1" applyAlignment="1">
      <alignment vertical="top"/>
    </xf>
    <xf numFmtId="164" fontId="3" fillId="0" borderId="21" xfId="0" applyNumberFormat="1" applyFont="1" applyFill="1" applyBorder="1"/>
    <xf numFmtId="164" fontId="3" fillId="3" borderId="21" xfId="0" applyNumberFormat="1" applyFont="1" applyFill="1" applyBorder="1" applyAlignment="1">
      <alignment vertical="center"/>
    </xf>
    <xf numFmtId="164" fontId="3" fillId="5" borderId="21" xfId="0" applyNumberFormat="1" applyFont="1" applyFill="1" applyBorder="1"/>
    <xf numFmtId="164" fontId="3" fillId="0" borderId="22" xfId="0" applyNumberFormat="1" applyFont="1" applyFill="1" applyBorder="1"/>
    <xf numFmtId="164" fontId="3" fillId="0" borderId="22" xfId="0" applyNumberFormat="1" applyFont="1" applyFill="1" applyBorder="1" applyAlignment="1">
      <alignment vertical="center"/>
    </xf>
    <xf numFmtId="164" fontId="3" fillId="6" borderId="23" xfId="0" applyNumberFormat="1" applyFont="1" applyFill="1" applyBorder="1" applyAlignment="1">
      <alignment horizontal="center" vertical="justify"/>
    </xf>
    <xf numFmtId="164" fontId="3" fillId="0" borderId="11" xfId="0" applyNumberFormat="1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vertical="top"/>
    </xf>
    <xf numFmtId="164" fontId="3" fillId="0" borderId="11" xfId="0" quotePrefix="1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1" xfId="1" applyFont="1" applyFill="1" applyBorder="1" applyAlignment="1">
      <alignment vertical="center" wrapText="1" shrinkToFit="1"/>
    </xf>
    <xf numFmtId="1" fontId="1" fillId="0" borderId="11" xfId="0" applyNumberFormat="1" applyFont="1" applyFill="1" applyBorder="1" applyAlignment="1">
      <alignment vertical="center"/>
    </xf>
    <xf numFmtId="1" fontId="1" fillId="0" borderId="11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4" fontId="2" fillId="0" borderId="14" xfId="0" applyNumberFormat="1" applyFont="1" applyFill="1" applyBorder="1"/>
    <xf numFmtId="0" fontId="2" fillId="0" borderId="0" xfId="1" applyFont="1" applyFill="1" applyBorder="1"/>
    <xf numFmtId="0" fontId="1" fillId="0" borderId="0" xfId="0" applyFont="1" applyFill="1" applyBorder="1"/>
    <xf numFmtId="164" fontId="3" fillId="2" borderId="11" xfId="0" applyNumberFormat="1" applyFont="1" applyFill="1" applyBorder="1" applyAlignment="1">
      <alignment vertical="top"/>
    </xf>
    <xf numFmtId="164" fontId="1" fillId="13" borderId="1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64" fontId="1" fillId="14" borderId="11" xfId="0" applyNumberFormat="1" applyFont="1" applyFill="1" applyBorder="1" applyAlignment="1">
      <alignment vertical="center"/>
    </xf>
    <xf numFmtId="164" fontId="1" fillId="0" borderId="14" xfId="0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vertical="center" wrapText="1" shrinkToFit="1"/>
    </xf>
    <xf numFmtId="164" fontId="10" fillId="0" borderId="1" xfId="0" applyNumberFormat="1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3" fillId="14" borderId="17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/>
    </xf>
    <xf numFmtId="164" fontId="5" fillId="0" borderId="1" xfId="1" applyNumberFormat="1" applyFont="1" applyFill="1" applyBorder="1"/>
    <xf numFmtId="164" fontId="1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1" fillId="12" borderId="11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right" vertical="center"/>
    </xf>
    <xf numFmtId="164" fontId="1" fillId="0" borderId="11" xfId="0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/>
    <xf numFmtId="164" fontId="10" fillId="0" borderId="1" xfId="1" applyNumberFormat="1" applyFont="1" applyFill="1" applyBorder="1"/>
    <xf numFmtId="0" fontId="9" fillId="4" borderId="11" xfId="0" applyFont="1" applyFill="1" applyBorder="1" applyAlignment="1">
      <alignment vertical="center"/>
    </xf>
    <xf numFmtId="164" fontId="14" fillId="0" borderId="1" xfId="1" applyNumberFormat="1" applyFont="1" applyFill="1" applyBorder="1"/>
    <xf numFmtId="0" fontId="15" fillId="0" borderId="11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top" wrapText="1"/>
    </xf>
    <xf numFmtId="164" fontId="3" fillId="12" borderId="11" xfId="0" applyNumberFormat="1" applyFont="1" applyFill="1" applyBorder="1" applyAlignment="1">
      <alignment vertical="center"/>
    </xf>
    <xf numFmtId="164" fontId="15" fillId="4" borderId="11" xfId="0" applyNumberFormat="1" applyFont="1" applyFill="1" applyBorder="1"/>
    <xf numFmtId="164" fontId="3" fillId="5" borderId="11" xfId="0" applyNumberFormat="1" applyFont="1" applyFill="1" applyBorder="1"/>
    <xf numFmtId="164" fontId="1" fillId="8" borderId="11" xfId="1" applyNumberFormat="1" applyFont="1" applyFill="1" applyBorder="1" applyAlignment="1">
      <alignment vertical="center" wrapText="1" shrinkToFit="1"/>
    </xf>
    <xf numFmtId="0" fontId="10" fillId="4" borderId="11" xfId="0" applyFont="1" applyFill="1" applyBorder="1" applyAlignment="1">
      <alignment vertical="center"/>
    </xf>
    <xf numFmtId="164" fontId="1" fillId="15" borderId="11" xfId="0" applyNumberFormat="1" applyFont="1" applyFill="1" applyBorder="1" applyAlignment="1">
      <alignment horizontal="center"/>
    </xf>
    <xf numFmtId="164" fontId="1" fillId="15" borderId="11" xfId="1" applyNumberFormat="1" applyFont="1" applyFill="1" applyBorder="1" applyAlignment="1">
      <alignment vertical="center" wrapText="1" shrinkToFit="1"/>
    </xf>
    <xf numFmtId="164" fontId="1" fillId="15" borderId="11" xfId="0" applyNumberFormat="1" applyFont="1" applyFill="1" applyBorder="1" applyAlignment="1">
      <alignment horizontal="center" vertical="center"/>
    </xf>
    <xf numFmtId="164" fontId="1" fillId="15" borderId="11" xfId="0" applyNumberFormat="1" applyFont="1" applyFill="1" applyBorder="1" applyAlignment="1">
      <alignment vertical="center"/>
    </xf>
    <xf numFmtId="164" fontId="1" fillId="15" borderId="0" xfId="0" applyNumberFormat="1" applyFont="1" applyFill="1" applyBorder="1" applyAlignment="1">
      <alignment vertical="center"/>
    </xf>
    <xf numFmtId="164" fontId="1" fillId="15" borderId="0" xfId="0" applyNumberFormat="1" applyFont="1" applyFill="1"/>
    <xf numFmtId="164" fontId="17" fillId="0" borderId="1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vertical="center"/>
    </xf>
    <xf numFmtId="164" fontId="17" fillId="12" borderId="1" xfId="0" applyNumberFormat="1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164" fontId="17" fillId="5" borderId="1" xfId="0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vertical="center" wrapText="1" shrinkToFit="1"/>
    </xf>
    <xf numFmtId="164" fontId="3" fillId="0" borderId="17" xfId="0" applyNumberFormat="1" applyFont="1" applyFill="1" applyBorder="1" applyAlignment="1">
      <alignment vertical="center"/>
    </xf>
    <xf numFmtId="164" fontId="3" fillId="0" borderId="17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164" fontId="3" fillId="3" borderId="15" xfId="0" applyNumberFormat="1" applyFont="1" applyFill="1" applyBorder="1"/>
    <xf numFmtId="164" fontId="3" fillId="4" borderId="15" xfId="0" applyNumberFormat="1" applyFont="1" applyFill="1" applyBorder="1"/>
    <xf numFmtId="164" fontId="3" fillId="0" borderId="11" xfId="0" applyNumberFormat="1" applyFont="1" applyFill="1" applyBorder="1" applyAlignment="1">
      <alignment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vertical="center" wrapText="1"/>
    </xf>
    <xf numFmtId="164" fontId="3" fillId="4" borderId="11" xfId="0" applyNumberFormat="1" applyFont="1" applyFill="1" applyBorder="1" applyAlignment="1">
      <alignment vertical="center" wrapText="1"/>
    </xf>
    <xf numFmtId="164" fontId="1" fillId="0" borderId="24" xfId="0" applyNumberFormat="1" applyFont="1" applyFill="1" applyBorder="1"/>
    <xf numFmtId="164" fontId="1" fillId="6" borderId="24" xfId="0" applyNumberFormat="1" applyFont="1" applyFill="1" applyBorder="1"/>
    <xf numFmtId="164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/>
    <xf numFmtId="164" fontId="1" fillId="2" borderId="11" xfId="0" applyNumberFormat="1" applyFont="1" applyFill="1" applyBorder="1" applyAlignment="1">
      <alignment horizontal="center"/>
    </xf>
    <xf numFmtId="164" fontId="10" fillId="0" borderId="11" xfId="0" applyNumberFormat="1" applyFont="1" applyFill="1" applyBorder="1"/>
    <xf numFmtId="164" fontId="10" fillId="0" borderId="0" xfId="0" applyNumberFormat="1" applyFont="1" applyFill="1" applyBorder="1"/>
    <xf numFmtId="164" fontId="1" fillId="0" borderId="0" xfId="1" applyNumberFormat="1" applyFont="1" applyFill="1" applyBorder="1" applyAlignment="1">
      <alignment vertical="center" wrapText="1" shrinkToFit="1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vertical="center"/>
    </xf>
    <xf numFmtId="164" fontId="11" fillId="0" borderId="0" xfId="0" quotePrefix="1" applyNumberFormat="1" applyFont="1" applyFill="1" applyBorder="1" applyAlignment="1">
      <alignment horizontal="center" vertical="center"/>
    </xf>
    <xf numFmtId="164" fontId="1" fillId="0" borderId="0" xfId="0" quotePrefix="1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vertical="top"/>
    </xf>
    <xf numFmtId="164" fontId="3" fillId="0" borderId="11" xfId="0" applyNumberFormat="1" applyFont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</cellXfs>
  <cellStyles count="5">
    <cellStyle name="Normal" xfId="0" builtinId="0"/>
    <cellStyle name="Normal 2" xfId="2"/>
    <cellStyle name="Normal 3" xfId="3"/>
    <cellStyle name="Normal 4" xfId="4"/>
    <cellStyle name="Normal_Auto Tax Calculator 2007-08-09 Version 2 &amp;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T108"/>
  <sheetViews>
    <sheetView tabSelected="1" topLeftCell="A4" zoomScale="55" zoomScaleNormal="55" workbookViewId="0">
      <pane xSplit="2" ySplit="2" topLeftCell="C6" activePane="bottomRight" state="frozen"/>
      <selection activeCell="A4" sqref="A4"/>
      <selection pane="topRight" activeCell="C4" sqref="C4"/>
      <selection pane="bottomLeft" activeCell="A6" sqref="A6"/>
      <selection pane="bottomRight" activeCell="Y28" sqref="Y28"/>
    </sheetView>
  </sheetViews>
  <sheetFormatPr defaultColWidth="9" defaultRowHeight="18.75"/>
  <cols>
    <col min="1" max="1" width="7" style="1" customWidth="1"/>
    <col min="2" max="2" width="30.5703125" style="2" customWidth="1"/>
    <col min="3" max="3" width="15" style="2" customWidth="1"/>
    <col min="4" max="4" width="9.28515625" style="1" customWidth="1"/>
    <col min="5" max="5" width="14.42578125" style="1" customWidth="1"/>
    <col min="6" max="6" width="4" style="4" customWidth="1"/>
    <col min="7" max="7" width="14.5703125" style="5" customWidth="1"/>
    <col min="8" max="8" width="13.28515625" style="2" customWidth="1"/>
    <col min="9" max="9" width="12.85546875" style="4" customWidth="1"/>
    <col min="10" max="10" width="11.140625" style="4" customWidth="1"/>
    <col min="11" max="11" width="12.5703125" style="4" customWidth="1"/>
    <col min="12" max="12" width="8.85546875" style="4" hidden="1" customWidth="1"/>
    <col min="13" max="13" width="9.85546875" style="4" hidden="1" customWidth="1"/>
    <col min="14" max="14" width="14.140625" style="6" customWidth="1"/>
    <col min="15" max="15" width="13.85546875" style="4" customWidth="1"/>
    <col min="16" max="16" width="13.85546875" style="8" customWidth="1"/>
    <col min="17" max="17" width="9.140625" style="2" customWidth="1"/>
    <col min="18" max="18" width="9.42578125" style="4" customWidth="1"/>
    <col min="19" max="19" width="10.5703125" style="4" hidden="1" customWidth="1"/>
    <col min="20" max="20" width="14.28515625" style="4" customWidth="1"/>
    <col min="21" max="21" width="13.28515625" style="4" customWidth="1"/>
    <col min="22" max="22" width="11.140625" style="4" hidden="1" customWidth="1"/>
    <col min="23" max="23" width="5.7109375" style="9" hidden="1" customWidth="1"/>
    <col min="24" max="25" width="16.28515625" style="4" customWidth="1"/>
    <col min="26" max="26" width="16.42578125" style="4" customWidth="1"/>
    <col min="27" max="28" width="7.42578125" style="4" customWidth="1"/>
    <col min="29" max="29" width="16" style="10" customWidth="1"/>
    <col min="30" max="30" width="10.5703125" style="11" hidden="1" customWidth="1"/>
    <col min="31" max="31" width="0" style="11" hidden="1" customWidth="1"/>
    <col min="32" max="32" width="10.5703125" style="11" hidden="1" customWidth="1"/>
    <col min="33" max="33" width="7.42578125" style="11" hidden="1" customWidth="1"/>
    <col min="34" max="34" width="0" style="11" hidden="1" customWidth="1"/>
    <col min="35" max="35" width="14.42578125" style="11" bestFit="1" customWidth="1"/>
    <col min="36" max="36" width="28.140625" style="10" customWidth="1"/>
    <col min="37" max="37" width="20.140625" style="10" customWidth="1"/>
    <col min="38" max="38" width="9" style="10"/>
    <col min="39" max="39" width="21.140625" style="2" customWidth="1"/>
    <col min="40" max="40" width="9" style="2"/>
    <col min="41" max="41" width="10.5703125" style="2" bestFit="1" customWidth="1"/>
    <col min="42" max="42" width="9" style="2"/>
    <col min="43" max="43" width="10.5703125" style="2" bestFit="1" customWidth="1"/>
    <col min="44" max="98" width="9" style="2"/>
    <col min="99" max="16384" width="9" style="4"/>
  </cols>
  <sheetData>
    <row r="2" spans="1:98">
      <c r="C2" s="3" t="s">
        <v>0</v>
      </c>
      <c r="O2" s="7"/>
    </row>
    <row r="4" spans="1:98" ht="32.1" customHeight="1" thickBot="1">
      <c r="A4" s="214" t="s">
        <v>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12"/>
      <c r="AB4" s="12"/>
      <c r="AC4" s="11"/>
    </row>
    <row r="5" spans="1:98" s="39" customFormat="1" ht="57.75" customHeight="1" thickBot="1">
      <c r="A5" s="13" t="s">
        <v>2</v>
      </c>
      <c r="B5" s="14" t="s">
        <v>3</v>
      </c>
      <c r="C5" s="15" t="s">
        <v>4</v>
      </c>
      <c r="D5" s="16" t="s">
        <v>5</v>
      </c>
      <c r="E5" s="17" t="s">
        <v>6</v>
      </c>
      <c r="F5" s="16"/>
      <c r="G5" s="18" t="s">
        <v>7</v>
      </c>
      <c r="H5" s="19" t="s">
        <v>8</v>
      </c>
      <c r="I5" s="20" t="s">
        <v>9</v>
      </c>
      <c r="J5" s="20" t="s">
        <v>10</v>
      </c>
      <c r="K5" s="21" t="s">
        <v>11</v>
      </c>
      <c r="L5" s="16"/>
      <c r="M5" s="16" t="s">
        <v>12</v>
      </c>
      <c r="N5" s="22" t="s">
        <v>13</v>
      </c>
      <c r="O5" s="23" t="s">
        <v>14</v>
      </c>
      <c r="P5" s="24" t="s">
        <v>15</v>
      </c>
      <c r="Q5" s="25" t="s">
        <v>16</v>
      </c>
      <c r="R5" s="26" t="s">
        <v>17</v>
      </c>
      <c r="S5" s="27" t="s">
        <v>18</v>
      </c>
      <c r="T5" s="28" t="s">
        <v>19</v>
      </c>
      <c r="U5" s="25" t="s">
        <v>20</v>
      </c>
      <c r="V5" s="29" t="s">
        <v>21</v>
      </c>
      <c r="W5" s="30"/>
      <c r="X5" s="31" t="s">
        <v>22</v>
      </c>
      <c r="Y5" s="32" t="s">
        <v>23</v>
      </c>
      <c r="Z5" s="33" t="s">
        <v>24</v>
      </c>
      <c r="AA5" s="34"/>
      <c r="AB5" s="34"/>
      <c r="AC5" s="35"/>
      <c r="AD5" s="36"/>
      <c r="AE5" s="11"/>
      <c r="AF5" s="11"/>
      <c r="AG5" s="11"/>
      <c r="AH5" s="37"/>
      <c r="AI5" s="38"/>
      <c r="AJ5" s="10" t="s">
        <v>7</v>
      </c>
      <c r="AK5" s="10"/>
      <c r="AL5" s="10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8" ht="36" customHeight="1">
      <c r="A6" s="40"/>
      <c r="B6" s="41" t="s">
        <v>25</v>
      </c>
      <c r="C6" s="42"/>
      <c r="D6" s="43"/>
      <c r="E6" s="43"/>
      <c r="F6" s="42"/>
      <c r="G6" s="44"/>
      <c r="H6" s="45"/>
      <c r="I6" s="46"/>
      <c r="J6" s="46"/>
      <c r="K6" s="46"/>
      <c r="L6" s="46"/>
      <c r="M6" s="46"/>
      <c r="N6" s="47"/>
      <c r="O6" s="48"/>
      <c r="P6" s="49"/>
      <c r="Q6" s="50"/>
      <c r="R6" s="50"/>
      <c r="S6" s="50"/>
      <c r="T6" s="50"/>
      <c r="U6" s="50"/>
      <c r="V6" s="50"/>
      <c r="W6" s="51"/>
      <c r="X6" s="52"/>
      <c r="Y6" s="52"/>
      <c r="Z6" s="53"/>
      <c r="AA6" s="54"/>
      <c r="AB6" s="54"/>
      <c r="AC6" s="11"/>
      <c r="AD6" s="35"/>
      <c r="AH6" s="55"/>
      <c r="AL6" s="56"/>
    </row>
    <row r="7" spans="1:98" ht="36" customHeight="1">
      <c r="A7" s="57">
        <v>1</v>
      </c>
      <c r="B7" s="58" t="s">
        <v>26</v>
      </c>
      <c r="C7" s="46">
        <v>134500</v>
      </c>
      <c r="D7" s="59">
        <v>13</v>
      </c>
      <c r="E7" s="59">
        <f>+C7+H7</f>
        <v>208475</v>
      </c>
      <c r="F7" s="46">
        <v>0</v>
      </c>
      <c r="G7" s="60">
        <f>+C7</f>
        <v>134500</v>
      </c>
      <c r="H7" s="46">
        <f>+G7*55%</f>
        <v>73975</v>
      </c>
      <c r="I7" s="46">
        <v>0</v>
      </c>
      <c r="J7" s="46">
        <v>1000</v>
      </c>
      <c r="K7" s="46">
        <f>(3600)+(3600*55%)</f>
        <v>5580</v>
      </c>
      <c r="L7" s="46"/>
      <c r="M7" s="46">
        <v>0</v>
      </c>
      <c r="N7" s="61">
        <f>SUM(G7:K7)</f>
        <v>215055</v>
      </c>
      <c r="O7" s="46">
        <f>(G7+H7)*12%</f>
        <v>25017</v>
      </c>
      <c r="P7" s="62">
        <v>32500</v>
      </c>
      <c r="Q7" s="46">
        <v>60</v>
      </c>
      <c r="R7" s="46">
        <v>110</v>
      </c>
      <c r="S7" s="46">
        <v>0</v>
      </c>
      <c r="T7" s="46"/>
      <c r="U7" s="46">
        <v>0</v>
      </c>
      <c r="V7" s="46"/>
      <c r="W7" s="63"/>
      <c r="X7" s="46">
        <f>SUM(O7:U7)</f>
        <v>57687</v>
      </c>
      <c r="Y7" s="46">
        <f>+N7-X7</f>
        <v>157368</v>
      </c>
      <c r="Z7" s="53"/>
      <c r="AA7" s="54"/>
      <c r="AB7" s="54"/>
      <c r="AC7" s="64"/>
      <c r="AD7" s="65"/>
      <c r="AE7" s="66"/>
      <c r="AF7" s="66"/>
      <c r="AH7" s="55"/>
      <c r="AJ7" s="10">
        <v>130600</v>
      </c>
      <c r="AL7" s="10">
        <f>+G7-AJ7</f>
        <v>3900</v>
      </c>
    </row>
    <row r="8" spans="1:98" ht="36" customHeight="1">
      <c r="A8" s="40"/>
      <c r="B8" s="41" t="s">
        <v>27</v>
      </c>
      <c r="C8" s="42"/>
      <c r="D8" s="43"/>
      <c r="E8" s="43"/>
      <c r="F8" s="42"/>
      <c r="G8" s="44"/>
      <c r="H8" s="45"/>
      <c r="I8" s="46"/>
      <c r="J8" s="46"/>
      <c r="K8" s="46"/>
      <c r="L8" s="46"/>
      <c r="M8" s="46"/>
      <c r="N8" s="61"/>
      <c r="O8" s="67"/>
      <c r="P8" s="68"/>
      <c r="Q8" s="46"/>
      <c r="R8" s="50"/>
      <c r="S8" s="46"/>
      <c r="T8" s="46"/>
      <c r="U8" s="46"/>
      <c r="V8" s="46"/>
      <c r="W8" s="63"/>
      <c r="X8" s="46"/>
      <c r="Y8" s="69"/>
      <c r="Z8" s="53"/>
      <c r="AA8" s="54"/>
      <c r="AB8" s="54"/>
      <c r="AC8" s="11"/>
      <c r="AD8" s="70"/>
      <c r="AE8" s="66"/>
      <c r="AF8" s="66"/>
      <c r="AH8" s="55"/>
      <c r="AL8" s="10">
        <f t="shared" ref="AL8:AL37" si="0">+G8-AJ8</f>
        <v>0</v>
      </c>
    </row>
    <row r="9" spans="1:98" ht="39.75" customHeight="1">
      <c r="A9" s="57">
        <f>+A7+1</f>
        <v>2</v>
      </c>
      <c r="B9" s="58" t="s">
        <v>28</v>
      </c>
      <c r="C9" s="71">
        <v>105600</v>
      </c>
      <c r="D9" s="72">
        <v>11</v>
      </c>
      <c r="E9" s="59">
        <f>+C9+H9</f>
        <v>163680</v>
      </c>
      <c r="F9" s="46">
        <v>0</v>
      </c>
      <c r="G9" s="60">
        <f t="shared" ref="G9:G11" si="1">+C9</f>
        <v>105600</v>
      </c>
      <c r="H9" s="46">
        <f>+G9*55%</f>
        <v>58080.000000000007</v>
      </c>
      <c r="I9" s="46">
        <v>0</v>
      </c>
      <c r="J9" s="46">
        <v>1000</v>
      </c>
      <c r="K9" s="46">
        <f>(3600)+(3600*55%)</f>
        <v>5580</v>
      </c>
      <c r="L9" s="46"/>
      <c r="M9" s="46">
        <v>0</v>
      </c>
      <c r="N9" s="61">
        <f>SUM(G9:K9)</f>
        <v>170260</v>
      </c>
      <c r="O9" s="46">
        <f>(G9+H9)*12%</f>
        <v>19641.599999999999</v>
      </c>
      <c r="P9" s="62">
        <v>20000</v>
      </c>
      <c r="Q9" s="46">
        <v>60</v>
      </c>
      <c r="R9" s="46">
        <v>110</v>
      </c>
      <c r="S9" s="46">
        <v>0</v>
      </c>
      <c r="T9" s="46"/>
      <c r="U9" s="46">
        <f>206*2</f>
        <v>412</v>
      </c>
      <c r="V9" s="46"/>
      <c r="W9" s="63"/>
      <c r="X9" s="46">
        <f>SUM(O9:U9)</f>
        <v>40223.599999999999</v>
      </c>
      <c r="Y9" s="46">
        <f>+N9-X9</f>
        <v>130036.4</v>
      </c>
      <c r="Z9" s="53"/>
      <c r="AA9" s="54"/>
      <c r="AB9" s="54"/>
      <c r="AC9" s="11"/>
      <c r="AD9" s="70"/>
      <c r="AE9" s="66"/>
      <c r="AF9" s="66"/>
      <c r="AH9" s="55"/>
      <c r="AJ9" s="10">
        <v>105600</v>
      </c>
      <c r="AL9" s="10">
        <f t="shared" si="0"/>
        <v>0</v>
      </c>
    </row>
    <row r="10" spans="1:98" ht="36" hidden="1" customHeight="1">
      <c r="A10" s="57"/>
      <c r="B10" s="58"/>
      <c r="C10" s="71"/>
      <c r="D10" s="73"/>
      <c r="E10" s="73"/>
      <c r="F10" s="46"/>
      <c r="G10" s="60">
        <f t="shared" si="1"/>
        <v>0</v>
      </c>
      <c r="H10" s="46"/>
      <c r="I10" s="46"/>
      <c r="J10" s="46"/>
      <c r="K10" s="46"/>
      <c r="L10" s="46"/>
      <c r="M10" s="46"/>
      <c r="N10" s="61">
        <f t="shared" ref="N10" si="2">SUM(G10:K10)</f>
        <v>0</v>
      </c>
      <c r="O10" s="46"/>
      <c r="P10" s="74"/>
      <c r="Q10" s="46"/>
      <c r="R10" s="46">
        <v>110</v>
      </c>
      <c r="S10" s="46"/>
      <c r="T10" s="46"/>
      <c r="U10" s="46"/>
      <c r="V10" s="46"/>
      <c r="W10" s="63"/>
      <c r="X10" s="46">
        <f t="shared" ref="X10" si="3">SUM(O10:W10)</f>
        <v>110</v>
      </c>
      <c r="Y10" s="46">
        <f t="shared" ref="Y10" si="4">+N10-X10</f>
        <v>-110</v>
      </c>
      <c r="Z10" s="53"/>
      <c r="AA10" s="54"/>
      <c r="AB10" s="54"/>
      <c r="AC10" s="11"/>
      <c r="AD10" s="70"/>
      <c r="AE10" s="66"/>
      <c r="AF10" s="66"/>
      <c r="AH10" s="55"/>
      <c r="AJ10" s="10">
        <v>0</v>
      </c>
      <c r="AL10" s="10">
        <f t="shared" si="0"/>
        <v>0</v>
      </c>
    </row>
    <row r="11" spans="1:98" ht="36" customHeight="1">
      <c r="A11" s="57">
        <v>3</v>
      </c>
      <c r="B11" s="58" t="s">
        <v>29</v>
      </c>
      <c r="C11" s="71">
        <v>85800</v>
      </c>
      <c r="D11" s="75">
        <v>11</v>
      </c>
      <c r="E11" s="59">
        <f>+C11+H11</f>
        <v>132990</v>
      </c>
      <c r="F11" s="46"/>
      <c r="G11" s="76">
        <f t="shared" si="1"/>
        <v>85800</v>
      </c>
      <c r="H11" s="46">
        <f>+G11*55%</f>
        <v>47190.000000000007</v>
      </c>
      <c r="I11" s="46">
        <v>0</v>
      </c>
      <c r="J11" s="46">
        <v>1000</v>
      </c>
      <c r="K11" s="46">
        <f>(3600)+(3600*55%)</f>
        <v>5580</v>
      </c>
      <c r="L11" s="46"/>
      <c r="M11" s="46">
        <v>0</v>
      </c>
      <c r="N11" s="61">
        <f>SUM(G11:K11)</f>
        <v>139570</v>
      </c>
      <c r="O11" s="46">
        <f>(G11+H11)*12%</f>
        <v>15958.8</v>
      </c>
      <c r="P11" s="74">
        <v>12500</v>
      </c>
      <c r="Q11" s="46">
        <v>60</v>
      </c>
      <c r="R11" s="46">
        <v>110</v>
      </c>
      <c r="S11" s="46">
        <v>0</v>
      </c>
      <c r="T11" s="46"/>
      <c r="U11" s="46">
        <v>412</v>
      </c>
      <c r="V11" s="46"/>
      <c r="W11" s="63"/>
      <c r="X11" s="46">
        <f>SUM(O11:U11)</f>
        <v>29040.799999999999</v>
      </c>
      <c r="Y11" s="46">
        <f>+N11-X11</f>
        <v>110529.2</v>
      </c>
      <c r="Z11" s="53"/>
      <c r="AA11" s="54"/>
      <c r="AB11" s="54"/>
      <c r="AC11" s="11"/>
      <c r="AD11" s="70"/>
      <c r="AE11" s="66"/>
      <c r="AF11" s="66"/>
      <c r="AH11" s="55"/>
      <c r="AJ11" s="10">
        <v>84900</v>
      </c>
      <c r="AL11" s="10">
        <f t="shared" si="0"/>
        <v>900</v>
      </c>
    </row>
    <row r="12" spans="1:98" ht="36" customHeight="1">
      <c r="A12" s="40"/>
      <c r="B12" s="41" t="s">
        <v>30</v>
      </c>
      <c r="C12" s="42"/>
      <c r="D12" s="43"/>
      <c r="E12" s="43"/>
      <c r="F12" s="42"/>
      <c r="G12" s="44"/>
      <c r="H12" s="45"/>
      <c r="I12" s="46"/>
      <c r="J12" s="46"/>
      <c r="K12" s="46"/>
      <c r="L12" s="46"/>
      <c r="M12" s="67"/>
      <c r="N12" s="61"/>
      <c r="O12" s="67"/>
      <c r="P12" s="74"/>
      <c r="Q12" s="67"/>
      <c r="R12" s="50"/>
      <c r="S12" s="67"/>
      <c r="T12" s="67"/>
      <c r="U12" s="67"/>
      <c r="V12" s="67"/>
      <c r="W12" s="77"/>
      <c r="X12" s="46"/>
      <c r="Y12" s="69"/>
      <c r="Z12" s="53"/>
      <c r="AA12" s="54"/>
      <c r="AB12" s="54"/>
      <c r="AD12" s="70"/>
      <c r="AE12" s="66"/>
      <c r="AF12" s="66"/>
      <c r="AH12" s="55"/>
      <c r="AL12" s="10">
        <f t="shared" si="0"/>
        <v>0</v>
      </c>
    </row>
    <row r="13" spans="1:98" ht="36" customHeight="1">
      <c r="A13" s="40">
        <f>+A11+1</f>
        <v>4</v>
      </c>
      <c r="B13" s="58" t="s">
        <v>31</v>
      </c>
      <c r="C13" s="46">
        <v>117800</v>
      </c>
      <c r="D13" s="59">
        <v>9</v>
      </c>
      <c r="E13" s="59">
        <f>+C13+H13</f>
        <v>182590</v>
      </c>
      <c r="F13" s="46"/>
      <c r="G13" s="60">
        <f>+C13</f>
        <v>117800</v>
      </c>
      <c r="H13" s="46">
        <f>+G13*55%</f>
        <v>64790.000000000007</v>
      </c>
      <c r="I13" s="78">
        <f>+G13*20%</f>
        <v>23560</v>
      </c>
      <c r="J13" s="46">
        <v>1000</v>
      </c>
      <c r="K13" s="46">
        <f>(3600)+(3600*55%)</f>
        <v>5580</v>
      </c>
      <c r="L13" s="46"/>
      <c r="M13" s="46">
        <v>0</v>
      </c>
      <c r="N13" s="61">
        <f>SUM(G13:K13)</f>
        <v>212730</v>
      </c>
      <c r="O13" s="46">
        <f>(G13+H13)*12%</f>
        <v>21910.799999999999</v>
      </c>
      <c r="P13" s="74">
        <v>40000</v>
      </c>
      <c r="Q13" s="46">
        <v>60</v>
      </c>
      <c r="R13" s="46">
        <v>110</v>
      </c>
      <c r="S13" s="46">
        <v>0</v>
      </c>
      <c r="T13" s="46"/>
      <c r="U13" s="46">
        <v>0</v>
      </c>
      <c r="V13" s="46"/>
      <c r="W13" s="63"/>
      <c r="X13" s="46">
        <f>SUM(O13:U13)</f>
        <v>62080.800000000003</v>
      </c>
      <c r="Y13" s="46">
        <f>+N13-X13</f>
        <v>150649.20000000001</v>
      </c>
      <c r="Z13" s="53"/>
      <c r="AA13" s="54"/>
      <c r="AB13" s="54"/>
      <c r="AD13" s="70"/>
      <c r="AE13" s="66"/>
      <c r="AF13" s="66"/>
      <c r="AH13" s="55"/>
      <c r="AJ13" s="10">
        <v>114400</v>
      </c>
      <c r="AL13" s="10">
        <f t="shared" si="0"/>
        <v>3400</v>
      </c>
    </row>
    <row r="14" spans="1:98" s="92" customFormat="1" ht="36" customHeight="1" thickBot="1">
      <c r="A14" s="79"/>
      <c r="B14" s="80"/>
      <c r="C14" s="81">
        <f>SUM(C7:C13)</f>
        <v>443700</v>
      </c>
      <c r="D14" s="82"/>
      <c r="E14" s="82"/>
      <c r="F14" s="81">
        <f t="shared" ref="F14" si="5">+F7+F9+F11+F13</f>
        <v>0</v>
      </c>
      <c r="G14" s="81">
        <f>SUM(G7:G13)</f>
        <v>443700</v>
      </c>
      <c r="H14" s="81">
        <f>SUM(H7:H13)</f>
        <v>244035</v>
      </c>
      <c r="I14" s="81">
        <f t="shared" ref="I14:M14" si="6">+I7+I9+I11+I13</f>
        <v>23560</v>
      </c>
      <c r="J14" s="81">
        <f t="shared" si="6"/>
        <v>4000</v>
      </c>
      <c r="K14" s="81">
        <f>SUM(K7:K13)</f>
        <v>22320</v>
      </c>
      <c r="L14" s="81">
        <f t="shared" si="6"/>
        <v>0</v>
      </c>
      <c r="M14" s="81">
        <f t="shared" si="6"/>
        <v>0</v>
      </c>
      <c r="N14" s="83">
        <f>+N7+N9+N11+N13</f>
        <v>737615</v>
      </c>
      <c r="O14" s="83">
        <f>SUM(O6:O13)+1</f>
        <v>82529.2</v>
      </c>
      <c r="P14" s="83">
        <f>+P7+P9+P11+P13</f>
        <v>105000</v>
      </c>
      <c r="Q14" s="84">
        <f t="shared" ref="Q14:V14" si="7">SUM(Q6:Q13)</f>
        <v>240</v>
      </c>
      <c r="R14" s="83">
        <f>+R7+R9+R11+R13</f>
        <v>440</v>
      </c>
      <c r="S14" s="83">
        <f t="shared" si="7"/>
        <v>0</v>
      </c>
      <c r="T14" s="83"/>
      <c r="U14" s="83">
        <f t="shared" si="7"/>
        <v>824</v>
      </c>
      <c r="V14" s="83">
        <f t="shared" si="7"/>
        <v>0</v>
      </c>
      <c r="W14" s="83"/>
      <c r="X14" s="83">
        <f>+O14+P14+Q14+R14+S14+U14+V14</f>
        <v>189033.2</v>
      </c>
      <c r="Y14" s="83">
        <f>+N14-X14</f>
        <v>548581.80000000005</v>
      </c>
      <c r="Z14" s="85"/>
      <c r="AA14" s="86"/>
      <c r="AB14" s="54"/>
      <c r="AC14" s="11"/>
      <c r="AD14" s="87"/>
      <c r="AE14" s="88"/>
      <c r="AF14" s="87"/>
      <c r="AG14" s="89"/>
      <c r="AH14" s="55"/>
      <c r="AI14" s="89"/>
      <c r="AJ14" s="90">
        <v>435500</v>
      </c>
      <c r="AK14" s="90"/>
      <c r="AL14" s="10">
        <f t="shared" si="0"/>
        <v>8200</v>
      </c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</row>
    <row r="15" spans="1:98" s="92" customFormat="1" ht="36" customHeight="1" thickTop="1" thickBot="1">
      <c r="A15" s="93"/>
      <c r="B15" s="94" t="s">
        <v>32</v>
      </c>
      <c r="C15" s="95"/>
      <c r="D15" s="96"/>
      <c r="E15" s="96"/>
      <c r="F15" s="95"/>
      <c r="G15" s="97"/>
      <c r="H15" s="48"/>
      <c r="I15" s="95"/>
      <c r="J15" s="95"/>
      <c r="K15" s="95"/>
      <c r="L15" s="95"/>
      <c r="M15" s="95"/>
      <c r="N15" s="98"/>
      <c r="O15" s="95"/>
      <c r="P15" s="95"/>
      <c r="Q15" s="95"/>
      <c r="R15" s="95"/>
      <c r="S15" s="95"/>
      <c r="T15" s="95"/>
      <c r="U15" s="95"/>
      <c r="V15" s="95"/>
      <c r="W15" s="99"/>
      <c r="X15" s="95"/>
      <c r="Y15" s="100"/>
      <c r="Z15" s="101" t="s">
        <v>24</v>
      </c>
      <c r="AA15" s="86"/>
      <c r="AB15" s="54"/>
      <c r="AC15" s="11"/>
      <c r="AD15" s="87"/>
      <c r="AE15" s="88"/>
      <c r="AF15" s="87"/>
      <c r="AG15" s="89"/>
      <c r="AH15" s="55"/>
      <c r="AI15" s="89"/>
      <c r="AJ15" s="90"/>
      <c r="AK15" s="90"/>
      <c r="AL15" s="10">
        <f t="shared" si="0"/>
        <v>0</v>
      </c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</row>
    <row r="16" spans="1:98" ht="36" hidden="1" customHeight="1" thickBot="1">
      <c r="A16" s="57"/>
      <c r="B16" s="58"/>
      <c r="C16" s="46"/>
      <c r="D16" s="102"/>
      <c r="E16" s="102"/>
      <c r="F16" s="46"/>
      <c r="G16" s="60"/>
      <c r="H16" s="46"/>
      <c r="I16" s="46"/>
      <c r="J16" s="46"/>
      <c r="K16" s="46"/>
      <c r="L16" s="46">
        <v>300</v>
      </c>
      <c r="M16" s="46"/>
      <c r="N16" s="61"/>
      <c r="O16" s="103"/>
      <c r="P16" s="104"/>
      <c r="Q16" s="103"/>
      <c r="R16" s="103"/>
      <c r="S16" s="103"/>
      <c r="T16" s="103"/>
      <c r="U16" s="103"/>
      <c r="V16" s="103"/>
      <c r="W16" s="105"/>
      <c r="X16" s="103"/>
      <c r="Y16" s="103"/>
      <c r="Z16" s="53"/>
      <c r="AA16" s="54"/>
      <c r="AB16" s="54"/>
      <c r="AC16" s="11"/>
      <c r="AD16" s="87"/>
      <c r="AE16" s="87"/>
      <c r="AF16" s="87"/>
      <c r="AH16" s="55"/>
      <c r="AL16" s="10">
        <f t="shared" si="0"/>
        <v>0</v>
      </c>
    </row>
    <row r="17" spans="1:98" ht="36" customHeight="1">
      <c r="A17" s="57">
        <f>+A13+1</f>
        <v>5</v>
      </c>
      <c r="B17" s="58" t="s">
        <v>33</v>
      </c>
      <c r="C17" s="71">
        <v>77900</v>
      </c>
      <c r="D17" s="72">
        <v>9</v>
      </c>
      <c r="E17" s="59">
        <f t="shared" ref="E17:E22" si="8">+C17+H17</f>
        <v>120745</v>
      </c>
      <c r="F17" s="46"/>
      <c r="G17" s="60">
        <f t="shared" ref="G17:G22" si="9">+C17</f>
        <v>77900</v>
      </c>
      <c r="H17" s="46">
        <f>+G17*55%</f>
        <v>42845</v>
      </c>
      <c r="I17" s="46">
        <v>0</v>
      </c>
      <c r="J17" s="46">
        <v>1000</v>
      </c>
      <c r="K17" s="46">
        <f>(3600)+(3600*55%)</f>
        <v>5580</v>
      </c>
      <c r="L17" s="46"/>
      <c r="M17" s="46">
        <v>0</v>
      </c>
      <c r="N17" s="61">
        <f>SUM(G17:K17)</f>
        <v>127325</v>
      </c>
      <c r="O17" s="46">
        <f t="shared" ref="O17:O22" si="10">(G17+H17)*12%</f>
        <v>14489.4</v>
      </c>
      <c r="P17" s="74">
        <v>9500</v>
      </c>
      <c r="Q17" s="106">
        <v>45</v>
      </c>
      <c r="R17" s="46">
        <v>110</v>
      </c>
      <c r="S17" s="106">
        <v>0</v>
      </c>
      <c r="T17" s="106"/>
      <c r="U17" s="106">
        <v>206</v>
      </c>
      <c r="V17" s="106">
        <v>0</v>
      </c>
      <c r="W17" s="63"/>
      <c r="X17" s="46">
        <f t="shared" ref="X17:X22" si="11">SUM(O17:W17)</f>
        <v>24350.400000000001</v>
      </c>
      <c r="Y17" s="46">
        <f>+N17-X17</f>
        <v>102974.6</v>
      </c>
      <c r="Z17" s="53"/>
      <c r="AA17" s="54"/>
      <c r="AB17" s="54"/>
      <c r="AC17" s="11"/>
      <c r="AD17" s="70"/>
      <c r="AE17" s="66"/>
      <c r="AF17" s="66"/>
      <c r="AH17" s="55"/>
      <c r="AJ17" s="10">
        <v>77900</v>
      </c>
      <c r="AL17" s="10">
        <f t="shared" si="0"/>
        <v>0</v>
      </c>
    </row>
    <row r="18" spans="1:98" s="2" customFormat="1" ht="36" customHeight="1">
      <c r="A18" s="40">
        <f>+A17+1</f>
        <v>6</v>
      </c>
      <c r="B18" s="58" t="s">
        <v>34</v>
      </c>
      <c r="C18" s="46">
        <v>71300</v>
      </c>
      <c r="D18" s="59">
        <v>9</v>
      </c>
      <c r="E18" s="59">
        <f t="shared" si="8"/>
        <v>110515</v>
      </c>
      <c r="F18" s="46"/>
      <c r="G18" s="60">
        <f t="shared" si="9"/>
        <v>71300</v>
      </c>
      <c r="H18" s="46">
        <f>+G18*55%</f>
        <v>39215</v>
      </c>
      <c r="I18" s="46">
        <v>0</v>
      </c>
      <c r="J18" s="46">
        <v>1000</v>
      </c>
      <c r="K18" s="46">
        <f>(3600)+(3600*55%)</f>
        <v>5580</v>
      </c>
      <c r="L18" s="46"/>
      <c r="M18" s="46">
        <v>0</v>
      </c>
      <c r="N18" s="61">
        <f>SUM(G18:K18)</f>
        <v>117095</v>
      </c>
      <c r="O18" s="46">
        <f t="shared" si="10"/>
        <v>13261.8</v>
      </c>
      <c r="P18" s="74">
        <v>9000</v>
      </c>
      <c r="Q18" s="46">
        <v>45</v>
      </c>
      <c r="R18" s="46">
        <v>110</v>
      </c>
      <c r="S18" s="46">
        <v>0</v>
      </c>
      <c r="T18" s="46"/>
      <c r="U18" s="46">
        <v>206</v>
      </c>
      <c r="V18" s="46">
        <v>0</v>
      </c>
      <c r="W18" s="63"/>
      <c r="X18" s="46">
        <f t="shared" si="11"/>
        <v>22622.799999999999</v>
      </c>
      <c r="Y18" s="46">
        <f t="shared" ref="Y18:Y22" si="12">+N18-X18</f>
        <v>94472.2</v>
      </c>
      <c r="Z18" s="53"/>
      <c r="AA18" s="54"/>
      <c r="AB18" s="54"/>
      <c r="AC18" s="11"/>
      <c r="AD18" s="70"/>
      <c r="AE18" s="66"/>
      <c r="AF18" s="66"/>
      <c r="AG18" s="11"/>
      <c r="AH18" s="55"/>
      <c r="AI18" s="11"/>
      <c r="AJ18" s="10">
        <v>71300</v>
      </c>
      <c r="AK18" s="10"/>
      <c r="AL18" s="10">
        <f t="shared" si="0"/>
        <v>0</v>
      </c>
    </row>
    <row r="19" spans="1:98" s="2" customFormat="1" ht="36" customHeight="1">
      <c r="A19" s="40">
        <f>+A18+1</f>
        <v>7</v>
      </c>
      <c r="B19" s="58" t="s">
        <v>35</v>
      </c>
      <c r="C19" s="46">
        <v>69200</v>
      </c>
      <c r="D19" s="59">
        <v>9</v>
      </c>
      <c r="E19" s="59">
        <f t="shared" si="8"/>
        <v>107260</v>
      </c>
      <c r="F19" s="46"/>
      <c r="G19" s="60">
        <f t="shared" si="9"/>
        <v>69200</v>
      </c>
      <c r="H19" s="46">
        <f>+G19*55%</f>
        <v>38060</v>
      </c>
      <c r="I19" s="78">
        <f>+G19*20%</f>
        <v>13840</v>
      </c>
      <c r="J19" s="46">
        <v>1000</v>
      </c>
      <c r="K19" s="46">
        <f>(3600)+(3600*55%)</f>
        <v>5580</v>
      </c>
      <c r="L19" s="46"/>
      <c r="M19" s="46">
        <v>0</v>
      </c>
      <c r="N19" s="61">
        <f>SUM(G19:K19)</f>
        <v>127680</v>
      </c>
      <c r="O19" s="46">
        <f t="shared" si="10"/>
        <v>12871.199999999999</v>
      </c>
      <c r="P19" s="74">
        <v>10000</v>
      </c>
      <c r="Q19" s="46">
        <v>45</v>
      </c>
      <c r="R19" s="46">
        <v>110</v>
      </c>
      <c r="S19" s="46">
        <v>0</v>
      </c>
      <c r="T19" s="46"/>
      <c r="U19" s="46">
        <v>0</v>
      </c>
      <c r="V19" s="46">
        <v>0</v>
      </c>
      <c r="W19" s="63"/>
      <c r="X19" s="46">
        <f t="shared" si="11"/>
        <v>23026.199999999997</v>
      </c>
      <c r="Y19" s="46">
        <f t="shared" si="12"/>
        <v>104653.8</v>
      </c>
      <c r="Z19" s="53"/>
      <c r="AA19" s="54"/>
      <c r="AB19" s="54"/>
      <c r="AC19" s="11"/>
      <c r="AD19" s="70"/>
      <c r="AE19" s="66"/>
      <c r="AF19" s="66"/>
      <c r="AG19" s="11"/>
      <c r="AH19" s="55"/>
      <c r="AI19" s="11"/>
      <c r="AJ19" s="10"/>
      <c r="AK19" s="10"/>
      <c r="AL19" s="10"/>
    </row>
    <row r="20" spans="1:98" s="2" customFormat="1" ht="36" hidden="1" customHeight="1">
      <c r="A20" s="40"/>
      <c r="B20" s="94"/>
      <c r="C20" s="94"/>
      <c r="D20" s="107"/>
      <c r="E20" s="59">
        <f t="shared" si="8"/>
        <v>1</v>
      </c>
      <c r="F20" s="46"/>
      <c r="G20" s="60">
        <f t="shared" si="9"/>
        <v>0</v>
      </c>
      <c r="H20" s="46">
        <f t="shared" ref="H20" si="13">+G20*189%+1</f>
        <v>1</v>
      </c>
      <c r="I20" s="46"/>
      <c r="J20" s="46"/>
      <c r="K20" s="46"/>
      <c r="L20" s="67"/>
      <c r="M20" s="67"/>
      <c r="N20" s="61">
        <f t="shared" ref="N20:N22" si="14">SUM(G20:K20)</f>
        <v>1</v>
      </c>
      <c r="O20" s="46">
        <f t="shared" si="10"/>
        <v>0.12</v>
      </c>
      <c r="P20" s="74"/>
      <c r="Q20" s="67"/>
      <c r="R20" s="46">
        <v>110</v>
      </c>
      <c r="S20" s="67"/>
      <c r="T20" s="67"/>
      <c r="U20" s="67"/>
      <c r="V20" s="67"/>
      <c r="W20" s="77"/>
      <c r="X20" s="46">
        <f t="shared" si="11"/>
        <v>110.12</v>
      </c>
      <c r="Y20" s="46">
        <f t="shared" si="12"/>
        <v>-109.12</v>
      </c>
      <c r="Z20" s="53"/>
      <c r="AA20" s="54"/>
      <c r="AB20" s="54"/>
      <c r="AC20" s="11"/>
      <c r="AD20" s="87"/>
      <c r="AE20" s="87"/>
      <c r="AF20" s="87"/>
      <c r="AG20" s="11"/>
      <c r="AH20" s="55"/>
      <c r="AI20" s="11"/>
      <c r="AJ20" s="10"/>
      <c r="AK20" s="10"/>
      <c r="AL20" s="10"/>
    </row>
    <row r="21" spans="1:98" s="2" customFormat="1" ht="41.25" customHeight="1">
      <c r="A21" s="40">
        <f>+A19+1</f>
        <v>8</v>
      </c>
      <c r="B21" s="58" t="s">
        <v>36</v>
      </c>
      <c r="C21" s="46">
        <f>75000-3693</f>
        <v>71307</v>
      </c>
      <c r="D21" s="102"/>
      <c r="E21" s="59">
        <f t="shared" si="8"/>
        <v>71307</v>
      </c>
      <c r="F21" s="46">
        <v>0</v>
      </c>
      <c r="G21" s="60">
        <f t="shared" si="9"/>
        <v>71307</v>
      </c>
      <c r="H21" s="46">
        <v>0</v>
      </c>
      <c r="I21" s="46">
        <v>0</v>
      </c>
      <c r="J21" s="46">
        <v>0</v>
      </c>
      <c r="K21" s="46">
        <v>0</v>
      </c>
      <c r="L21" s="46"/>
      <c r="M21" s="108">
        <v>0</v>
      </c>
      <c r="N21" s="61">
        <f t="shared" si="14"/>
        <v>71307</v>
      </c>
      <c r="O21" s="46">
        <f t="shared" si="10"/>
        <v>8556.84</v>
      </c>
      <c r="P21" s="46">
        <v>0</v>
      </c>
      <c r="Q21" s="46">
        <v>0</v>
      </c>
      <c r="R21" s="46">
        <v>110</v>
      </c>
      <c r="S21" s="46"/>
      <c r="T21" s="109">
        <v>0</v>
      </c>
      <c r="U21" s="46">
        <v>173</v>
      </c>
      <c r="V21" s="46">
        <v>0</v>
      </c>
      <c r="W21" s="63"/>
      <c r="X21" s="46">
        <f>SUM(O21:U21)</f>
        <v>8839.84</v>
      </c>
      <c r="Y21" s="46">
        <f t="shared" si="12"/>
        <v>62467.16</v>
      </c>
      <c r="Z21" s="53"/>
      <c r="AA21" s="54"/>
      <c r="AB21" s="54"/>
      <c r="AC21" s="38"/>
      <c r="AD21" s="87"/>
      <c r="AE21" s="87"/>
      <c r="AF21" s="87"/>
      <c r="AG21" s="11"/>
      <c r="AH21" s="11"/>
      <c r="AI21" s="11"/>
      <c r="AJ21" s="10"/>
      <c r="AK21" s="10"/>
      <c r="AL21" s="10"/>
    </row>
    <row r="22" spans="1:98" s="114" customFormat="1" ht="36" customHeight="1" thickBot="1">
      <c r="A22" s="110">
        <f t="shared" ref="A22" si="15">+A21+1</f>
        <v>9</v>
      </c>
      <c r="B22" s="58" t="s">
        <v>37</v>
      </c>
      <c r="C22" s="46">
        <v>68000</v>
      </c>
      <c r="D22" s="59">
        <v>7</v>
      </c>
      <c r="E22" s="59">
        <f t="shared" si="8"/>
        <v>105400</v>
      </c>
      <c r="F22" s="46"/>
      <c r="G22" s="60">
        <f t="shared" si="9"/>
        <v>68000</v>
      </c>
      <c r="H22" s="46">
        <f>+G22*55%</f>
        <v>37400</v>
      </c>
      <c r="I22" s="78">
        <f>+G22*20%</f>
        <v>13600</v>
      </c>
      <c r="J22" s="46">
        <v>1000</v>
      </c>
      <c r="K22" s="46">
        <f>(1800)+(1800*55%)</f>
        <v>2790</v>
      </c>
      <c r="L22" s="46"/>
      <c r="M22" s="46">
        <v>0</v>
      </c>
      <c r="N22" s="61">
        <f t="shared" si="14"/>
        <v>122790</v>
      </c>
      <c r="O22" s="46">
        <f t="shared" si="10"/>
        <v>12648</v>
      </c>
      <c r="P22" s="74">
        <v>11000</v>
      </c>
      <c r="Q22" s="111">
        <v>30</v>
      </c>
      <c r="R22" s="46">
        <v>110</v>
      </c>
      <c r="S22" s="111">
        <v>0</v>
      </c>
      <c r="T22" s="111"/>
      <c r="U22" s="111">
        <v>0</v>
      </c>
      <c r="V22" s="111">
        <v>0</v>
      </c>
      <c r="W22" s="63"/>
      <c r="X22" s="46">
        <f t="shared" si="11"/>
        <v>23788</v>
      </c>
      <c r="Y22" s="46">
        <f t="shared" si="12"/>
        <v>99002</v>
      </c>
      <c r="Z22" s="53"/>
      <c r="AA22" s="112"/>
      <c r="AB22" s="112"/>
      <c r="AC22" s="11"/>
      <c r="AD22" s="113"/>
      <c r="AE22" s="66"/>
      <c r="AF22" s="66"/>
      <c r="AG22" s="11"/>
      <c r="AH22" s="55"/>
      <c r="AI22" s="11">
        <f>+N22/22</f>
        <v>5581.363636363636</v>
      </c>
      <c r="AJ22" s="2"/>
      <c r="AK22" s="10"/>
      <c r="AL22" s="10"/>
    </row>
    <row r="23" spans="1:98" s="92" customFormat="1" ht="47.25" customHeight="1" thickBot="1">
      <c r="A23" s="93"/>
      <c r="B23" s="115"/>
      <c r="C23" s="81">
        <f>SUM(C17:C22)</f>
        <v>357707</v>
      </c>
      <c r="D23" s="82"/>
      <c r="E23" s="82"/>
      <c r="F23" s="81">
        <f t="shared" ref="F23" si="16">+F17+F18+F19+F21+F22</f>
        <v>0</v>
      </c>
      <c r="G23" s="81">
        <f>+G17+G18+G19+G21+G22</f>
        <v>357707</v>
      </c>
      <c r="H23" s="81">
        <f t="shared" ref="H23:M23" si="17">+H17+H18+H19+H21+H22</f>
        <v>157520</v>
      </c>
      <c r="I23" s="81">
        <f t="shared" si="17"/>
        <v>27440</v>
      </c>
      <c r="J23" s="81">
        <f t="shared" si="17"/>
        <v>4000</v>
      </c>
      <c r="K23" s="81">
        <f t="shared" si="17"/>
        <v>19530</v>
      </c>
      <c r="L23" s="81">
        <f t="shared" si="17"/>
        <v>0</v>
      </c>
      <c r="M23" s="81">
        <f t="shared" si="17"/>
        <v>0</v>
      </c>
      <c r="N23" s="116">
        <f>+N17+N18+N19+N21+N22</f>
        <v>566197</v>
      </c>
      <c r="O23" s="117">
        <f>+O17+O18+O19+O21+O22</f>
        <v>61827.239999999991</v>
      </c>
      <c r="P23" s="116">
        <f>+P17+P18+P19+P21+P22</f>
        <v>39500</v>
      </c>
      <c r="Q23" s="118">
        <f t="shared" ref="Q23:V23" si="18">+Q17+Q18+Q19+Q21+Q22</f>
        <v>165</v>
      </c>
      <c r="R23" s="117">
        <f t="shared" si="18"/>
        <v>550</v>
      </c>
      <c r="S23" s="117">
        <f t="shared" si="18"/>
        <v>0</v>
      </c>
      <c r="T23" s="117">
        <f>SUM(T15:T22)</f>
        <v>0</v>
      </c>
      <c r="U23" s="117">
        <f t="shared" si="18"/>
        <v>585</v>
      </c>
      <c r="V23" s="117">
        <f t="shared" si="18"/>
        <v>0</v>
      </c>
      <c r="W23" s="117"/>
      <c r="X23" s="117">
        <f>+X17+X18+X19+X21+X22</f>
        <v>102627.23999999999</v>
      </c>
      <c r="Y23" s="117">
        <f>+Y17+Y18+Y19+Y21+Y22</f>
        <v>463569.76</v>
      </c>
      <c r="Z23" s="119"/>
      <c r="AA23" s="86"/>
      <c r="AB23" s="54"/>
      <c r="AC23" s="11"/>
      <c r="AD23" s="87"/>
      <c r="AE23" s="88"/>
      <c r="AF23" s="87"/>
      <c r="AG23" s="89"/>
      <c r="AH23" s="55"/>
      <c r="AI23" s="89"/>
      <c r="AJ23" s="90"/>
      <c r="AK23" s="90"/>
      <c r="AL23" s="10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</row>
    <row r="24" spans="1:98" s="92" customFormat="1" ht="36" customHeight="1" thickTop="1" thickBot="1">
      <c r="A24" s="96"/>
      <c r="B24" s="94" t="s">
        <v>38</v>
      </c>
      <c r="C24" s="120"/>
      <c r="D24" s="121"/>
      <c r="E24" s="121"/>
      <c r="F24" s="120"/>
      <c r="G24" s="122"/>
      <c r="H24" s="123"/>
      <c r="I24" s="124"/>
      <c r="J24" s="124"/>
      <c r="K24" s="124"/>
      <c r="L24" s="124"/>
      <c r="M24" s="124"/>
      <c r="N24" s="125"/>
      <c r="O24" s="124"/>
      <c r="P24" s="86"/>
      <c r="Q24" s="124"/>
      <c r="R24" s="124"/>
      <c r="S24" s="124"/>
      <c r="T24" s="124"/>
      <c r="U24" s="124"/>
      <c r="V24" s="124"/>
      <c r="W24" s="126"/>
      <c r="X24" s="127"/>
      <c r="Y24" s="128"/>
      <c r="Z24" s="129" t="s">
        <v>24</v>
      </c>
      <c r="AA24" s="86"/>
      <c r="AB24" s="54"/>
      <c r="AC24" s="11"/>
      <c r="AD24" s="87"/>
      <c r="AE24" s="88"/>
      <c r="AF24" s="87"/>
      <c r="AG24" s="89"/>
      <c r="AH24" s="55"/>
      <c r="AI24" s="89"/>
      <c r="AJ24" s="90"/>
      <c r="AK24" s="90"/>
      <c r="AL24" s="10">
        <f t="shared" si="0"/>
        <v>0</v>
      </c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</row>
    <row r="25" spans="1:98" ht="36" customHeight="1">
      <c r="A25" s="40">
        <f>+A22+1</f>
        <v>10</v>
      </c>
      <c r="B25" s="58" t="s">
        <v>39</v>
      </c>
      <c r="C25" s="130">
        <v>68000</v>
      </c>
      <c r="D25" s="59">
        <v>6</v>
      </c>
      <c r="E25" s="59">
        <f t="shared" ref="E25" si="19">+C25+H25</f>
        <v>105400</v>
      </c>
      <c r="F25" s="46"/>
      <c r="G25" s="60">
        <f t="shared" ref="G25" si="20">+C25</f>
        <v>68000</v>
      </c>
      <c r="H25" s="46">
        <f>+G25*55%</f>
        <v>37400</v>
      </c>
      <c r="I25" s="78">
        <f>+G25*20%</f>
        <v>13600</v>
      </c>
      <c r="J25" s="46">
        <v>1000</v>
      </c>
      <c r="K25" s="46">
        <f>(1800)+(1800*55%)</f>
        <v>2790</v>
      </c>
      <c r="L25" s="46"/>
      <c r="M25" s="46">
        <v>0</v>
      </c>
      <c r="N25" s="61">
        <f t="shared" ref="N25" si="21">SUM(G25:K25)</f>
        <v>122790</v>
      </c>
      <c r="O25" s="46">
        <f t="shared" ref="O25" si="22">(G25+H25)*12%</f>
        <v>12648</v>
      </c>
      <c r="P25" s="74">
        <v>9000</v>
      </c>
      <c r="Q25" s="46">
        <v>30</v>
      </c>
      <c r="R25" s="46">
        <v>110</v>
      </c>
      <c r="S25" s="46">
        <v>0</v>
      </c>
      <c r="T25" s="46"/>
      <c r="U25" s="46">
        <v>0</v>
      </c>
      <c r="V25" s="46"/>
      <c r="W25" s="63"/>
      <c r="X25" s="46">
        <f t="shared" ref="X25" si="23">SUM(O25:W25)</f>
        <v>21788</v>
      </c>
      <c r="Y25" s="46">
        <f t="shared" ref="Y25" si="24">+N25-X25</f>
        <v>101002</v>
      </c>
      <c r="Z25" s="53"/>
      <c r="AA25" s="54"/>
      <c r="AB25" s="54"/>
      <c r="AC25" s="11"/>
      <c r="AD25" s="113"/>
      <c r="AE25" s="66"/>
      <c r="AF25" s="66"/>
      <c r="AH25" s="55"/>
      <c r="AJ25" s="10">
        <v>66000</v>
      </c>
      <c r="AL25" s="10">
        <f t="shared" si="0"/>
        <v>2000</v>
      </c>
    </row>
    <row r="26" spans="1:98" ht="36" customHeight="1">
      <c r="A26" s="40"/>
      <c r="B26" s="94" t="s">
        <v>40</v>
      </c>
      <c r="C26" s="94"/>
      <c r="D26" s="107"/>
      <c r="E26" s="107"/>
      <c r="F26" s="94"/>
      <c r="G26" s="60">
        <f>(C26+D26+F26)</f>
        <v>0</v>
      </c>
      <c r="H26" s="131"/>
      <c r="I26" s="46"/>
      <c r="J26" s="46"/>
      <c r="K26" s="46"/>
      <c r="L26" s="67"/>
      <c r="M26" s="108"/>
      <c r="N26" s="61"/>
      <c r="O26" s="67"/>
      <c r="P26" s="74"/>
      <c r="Q26" s="67"/>
      <c r="R26" s="50"/>
      <c r="S26" s="67"/>
      <c r="T26" s="67"/>
      <c r="U26" s="67"/>
      <c r="V26" s="67"/>
      <c r="W26" s="77"/>
      <c r="X26" s="46">
        <f t="shared" ref="X26:X29" si="25">+O26+P26+Q26+R26+S26+U26+V26</f>
        <v>0</v>
      </c>
      <c r="Y26" s="69"/>
      <c r="Z26" s="53"/>
      <c r="AA26" s="54"/>
      <c r="AB26" s="54"/>
      <c r="AC26" s="11"/>
      <c r="AD26" s="87"/>
      <c r="AE26" s="87"/>
      <c r="AF26" s="87"/>
      <c r="AH26" s="55"/>
      <c r="AJ26" s="10">
        <v>0</v>
      </c>
      <c r="AL26" s="10">
        <f t="shared" si="0"/>
        <v>0</v>
      </c>
    </row>
    <row r="27" spans="1:98" s="2" customFormat="1" ht="36" customHeight="1">
      <c r="A27" s="40">
        <v>11</v>
      </c>
      <c r="B27" s="58" t="s">
        <v>41</v>
      </c>
      <c r="C27" s="46">
        <v>62200</v>
      </c>
      <c r="D27" s="132">
        <v>6</v>
      </c>
      <c r="E27" s="59">
        <f t="shared" ref="E27:E37" si="26">+C27+H27</f>
        <v>96410</v>
      </c>
      <c r="F27" s="46"/>
      <c r="G27" s="60">
        <f t="shared" ref="G27:G28" si="27">+C27</f>
        <v>62200</v>
      </c>
      <c r="H27" s="46">
        <f>+G27*55%</f>
        <v>34210</v>
      </c>
      <c r="I27" s="46">
        <v>0</v>
      </c>
      <c r="J27" s="46">
        <v>1000</v>
      </c>
      <c r="K27" s="46">
        <f>(1800)+(1800*55%)</f>
        <v>2790</v>
      </c>
      <c r="L27" s="46"/>
      <c r="M27" s="108"/>
      <c r="N27" s="61">
        <f>SUM(G27:M27)</f>
        <v>100200</v>
      </c>
      <c r="O27" s="46">
        <f t="shared" ref="O27:O37" si="28">(G27+H27)*12%</f>
        <v>11569.199999999999</v>
      </c>
      <c r="P27" s="74">
        <v>0</v>
      </c>
      <c r="Q27" s="46">
        <v>30</v>
      </c>
      <c r="R27" s="46">
        <v>110</v>
      </c>
      <c r="S27" s="46">
        <v>0</v>
      </c>
      <c r="T27" s="46"/>
      <c r="U27" s="46">
        <f>173*2</f>
        <v>346</v>
      </c>
      <c r="V27" s="46"/>
      <c r="W27" s="63"/>
      <c r="X27" s="46">
        <f t="shared" ref="X27:X28" si="29">SUM(O27:W27)</f>
        <v>12055.199999999999</v>
      </c>
      <c r="Y27" s="46">
        <f t="shared" ref="Y27:Y28" si="30">+N27-X27</f>
        <v>88144.8</v>
      </c>
      <c r="Z27" s="53"/>
      <c r="AA27" s="54"/>
      <c r="AB27" s="54"/>
      <c r="AC27" s="11"/>
      <c r="AD27" s="133"/>
      <c r="AE27" s="66"/>
      <c r="AF27" s="66"/>
      <c r="AG27" s="11"/>
      <c r="AH27" s="55"/>
      <c r="AI27" s="11"/>
      <c r="AJ27" s="10">
        <v>60400</v>
      </c>
      <c r="AK27" s="10"/>
      <c r="AL27" s="10">
        <f t="shared" si="0"/>
        <v>1800</v>
      </c>
    </row>
    <row r="28" spans="1:98" s="2" customFormat="1" ht="36" customHeight="1">
      <c r="A28" s="134">
        <v>12</v>
      </c>
      <c r="B28" s="135" t="s">
        <v>42</v>
      </c>
      <c r="C28" s="136">
        <v>53000</v>
      </c>
      <c r="D28" s="137">
        <v>2</v>
      </c>
      <c r="E28" s="59">
        <f t="shared" si="26"/>
        <v>82150</v>
      </c>
      <c r="F28" s="46"/>
      <c r="G28" s="60">
        <f t="shared" si="27"/>
        <v>53000</v>
      </c>
      <c r="H28" s="46">
        <f>+G28*55%</f>
        <v>29150.000000000004</v>
      </c>
      <c r="I28" s="46">
        <v>0</v>
      </c>
      <c r="J28" s="46">
        <v>1000</v>
      </c>
      <c r="K28" s="46">
        <f>(3600)+(3600*55%)</f>
        <v>5580</v>
      </c>
      <c r="L28" s="46"/>
      <c r="M28" s="108"/>
      <c r="N28" s="61">
        <f>SUM(G28:M28)</f>
        <v>88730</v>
      </c>
      <c r="O28" s="46">
        <f t="shared" si="28"/>
        <v>9858</v>
      </c>
      <c r="P28" s="136">
        <v>0</v>
      </c>
      <c r="Q28" s="136">
        <v>30</v>
      </c>
      <c r="R28" s="46">
        <v>110</v>
      </c>
      <c r="S28" s="136">
        <v>0</v>
      </c>
      <c r="T28" s="136"/>
      <c r="U28" s="136">
        <f>173*2</f>
        <v>346</v>
      </c>
      <c r="V28" s="136">
        <v>0</v>
      </c>
      <c r="W28" s="63"/>
      <c r="X28" s="46">
        <f t="shared" si="29"/>
        <v>10344</v>
      </c>
      <c r="Y28" s="46">
        <f t="shared" si="30"/>
        <v>78386</v>
      </c>
      <c r="Z28" s="53"/>
      <c r="AA28" s="138"/>
      <c r="AB28" s="138"/>
      <c r="AC28" s="64"/>
      <c r="AD28" s="139"/>
      <c r="AE28" s="66"/>
      <c r="AF28" s="66"/>
      <c r="AG28" s="35"/>
      <c r="AH28" s="140"/>
      <c r="AI28" s="141"/>
      <c r="AJ28" s="10">
        <v>51500</v>
      </c>
      <c r="AK28" s="10"/>
      <c r="AL28" s="10">
        <f t="shared" si="0"/>
        <v>1500</v>
      </c>
      <c r="AO28" s="49"/>
      <c r="AP28" s="49"/>
    </row>
    <row r="29" spans="1:98" s="2" customFormat="1" ht="36" customHeight="1">
      <c r="A29" s="40"/>
      <c r="B29" s="94" t="s">
        <v>43</v>
      </c>
      <c r="C29" s="131"/>
      <c r="D29" s="107"/>
      <c r="E29" s="107"/>
      <c r="F29" s="94"/>
      <c r="G29" s="142"/>
      <c r="H29" s="131"/>
      <c r="I29" s="46"/>
      <c r="J29" s="46"/>
      <c r="K29" s="46"/>
      <c r="L29" s="67"/>
      <c r="M29" s="67"/>
      <c r="N29" s="143"/>
      <c r="O29" s="67"/>
      <c r="P29" s="144"/>
      <c r="Q29" s="67"/>
      <c r="R29" s="46"/>
      <c r="S29" s="67"/>
      <c r="T29" s="67"/>
      <c r="U29" s="67"/>
      <c r="V29" s="67"/>
      <c r="W29" s="77"/>
      <c r="X29" s="46">
        <f t="shared" si="25"/>
        <v>0</v>
      </c>
      <c r="Y29" s="69"/>
      <c r="Z29" s="53"/>
      <c r="AA29" s="54"/>
      <c r="AB29" s="54"/>
      <c r="AC29" s="11"/>
      <c r="AD29" s="139"/>
      <c r="AE29" s="87"/>
      <c r="AF29" s="87"/>
      <c r="AG29" s="11"/>
      <c r="AH29" s="55"/>
      <c r="AI29" s="11"/>
      <c r="AJ29" s="10"/>
      <c r="AK29" s="10"/>
      <c r="AL29" s="10">
        <f t="shared" si="0"/>
        <v>0</v>
      </c>
    </row>
    <row r="30" spans="1:98" s="2" customFormat="1" ht="36" customHeight="1">
      <c r="A30" s="40">
        <f>+A28+1</f>
        <v>13</v>
      </c>
      <c r="B30" s="58" t="s">
        <v>44</v>
      </c>
      <c r="C30" s="145">
        <v>46200</v>
      </c>
      <c r="D30" s="59">
        <v>6</v>
      </c>
      <c r="E30" s="59">
        <f t="shared" si="26"/>
        <v>71610</v>
      </c>
      <c r="F30" s="46"/>
      <c r="G30" s="60">
        <f t="shared" ref="G30:G37" si="31">+C30</f>
        <v>46200</v>
      </c>
      <c r="H30" s="46">
        <f>+G30*55%</f>
        <v>25410.000000000004</v>
      </c>
      <c r="I30" s="46">
        <v>0</v>
      </c>
      <c r="J30" s="46">
        <v>1000</v>
      </c>
      <c r="K30" s="46">
        <f>(1800)+(1800*55%)</f>
        <v>2790</v>
      </c>
      <c r="L30" s="46"/>
      <c r="M30" s="108"/>
      <c r="N30" s="61">
        <f t="shared" ref="N30:N33" si="32">SUM(G30:M30)</f>
        <v>75400</v>
      </c>
      <c r="O30" s="46">
        <f t="shared" si="28"/>
        <v>8593.1999999999989</v>
      </c>
      <c r="P30" s="74">
        <v>0</v>
      </c>
      <c r="Q30" s="146">
        <v>0</v>
      </c>
      <c r="R30" s="46">
        <v>110</v>
      </c>
      <c r="S30" s="46"/>
      <c r="T30" s="46"/>
      <c r="U30" s="46">
        <v>206</v>
      </c>
      <c r="V30" s="46"/>
      <c r="W30" s="63"/>
      <c r="X30" s="46">
        <f t="shared" ref="X30:X33" si="33">SUM(O30:W30)</f>
        <v>8909.1999999999989</v>
      </c>
      <c r="Y30" s="46">
        <f t="shared" ref="Y30:Y33" si="34">+N30-X30</f>
        <v>66490.8</v>
      </c>
      <c r="Z30" s="53"/>
      <c r="AA30" s="54"/>
      <c r="AB30" s="54"/>
      <c r="AC30" s="11"/>
      <c r="AD30" s="133"/>
      <c r="AE30" s="66"/>
      <c r="AF30" s="66"/>
      <c r="AG30" s="11"/>
      <c r="AH30" s="55"/>
      <c r="AI30" s="38"/>
      <c r="AJ30" s="10">
        <v>41100</v>
      </c>
      <c r="AK30" s="10"/>
      <c r="AL30" s="10">
        <f t="shared" si="0"/>
        <v>5100</v>
      </c>
    </row>
    <row r="31" spans="1:98" s="2" customFormat="1" ht="36" customHeight="1">
      <c r="A31" s="40">
        <f>+A30+1</f>
        <v>14</v>
      </c>
      <c r="B31" s="58" t="s">
        <v>45</v>
      </c>
      <c r="C31" s="145">
        <v>46200</v>
      </c>
      <c r="D31" s="59">
        <v>6</v>
      </c>
      <c r="E31" s="59">
        <f t="shared" si="26"/>
        <v>71610</v>
      </c>
      <c r="F31" s="46"/>
      <c r="G31" s="60">
        <f t="shared" si="31"/>
        <v>46200</v>
      </c>
      <c r="H31" s="46">
        <f>+G31*55%</f>
        <v>25410.000000000004</v>
      </c>
      <c r="I31" s="46">
        <v>0</v>
      </c>
      <c r="J31" s="46">
        <v>1000</v>
      </c>
      <c r="K31" s="46">
        <f>(1800)+(1800*55%)</f>
        <v>2790</v>
      </c>
      <c r="L31" s="46"/>
      <c r="M31" s="108"/>
      <c r="N31" s="61">
        <f t="shared" si="32"/>
        <v>75400</v>
      </c>
      <c r="O31" s="46">
        <f t="shared" si="28"/>
        <v>8593.1999999999989</v>
      </c>
      <c r="P31" s="74">
        <v>0</v>
      </c>
      <c r="Q31" s="146">
        <v>0</v>
      </c>
      <c r="R31" s="46">
        <v>110</v>
      </c>
      <c r="S31" s="46"/>
      <c r="T31" s="46"/>
      <c r="U31" s="46">
        <v>206</v>
      </c>
      <c r="V31" s="46"/>
      <c r="W31" s="63"/>
      <c r="X31" s="46">
        <f t="shared" si="33"/>
        <v>8909.1999999999989</v>
      </c>
      <c r="Y31" s="46">
        <f t="shared" si="34"/>
        <v>66490.8</v>
      </c>
      <c r="Z31" s="53"/>
      <c r="AA31" s="54"/>
      <c r="AB31" s="54"/>
      <c r="AC31" s="11"/>
      <c r="AD31" s="113"/>
      <c r="AE31" s="66"/>
      <c r="AF31" s="66"/>
      <c r="AG31" s="11"/>
      <c r="AH31" s="55"/>
      <c r="AI31" s="38"/>
      <c r="AJ31" s="10">
        <v>41100</v>
      </c>
      <c r="AK31" s="10"/>
      <c r="AL31" s="10">
        <f t="shared" si="0"/>
        <v>5100</v>
      </c>
    </row>
    <row r="32" spans="1:98" s="2" customFormat="1" ht="37.5" customHeight="1">
      <c r="A32" s="40">
        <f t="shared" ref="A32:A33" si="35">+A31+1</f>
        <v>15</v>
      </c>
      <c r="B32" s="58" t="s">
        <v>46</v>
      </c>
      <c r="C32" s="145">
        <v>44900</v>
      </c>
      <c r="D32" s="59">
        <v>6</v>
      </c>
      <c r="E32" s="59">
        <f t="shared" si="26"/>
        <v>69595</v>
      </c>
      <c r="F32" s="46"/>
      <c r="G32" s="60">
        <f t="shared" si="31"/>
        <v>44900</v>
      </c>
      <c r="H32" s="46">
        <f>+G32*55%</f>
        <v>24695.000000000004</v>
      </c>
      <c r="I32" s="46">
        <v>0</v>
      </c>
      <c r="J32" s="46">
        <v>1000</v>
      </c>
      <c r="K32" s="46">
        <f>(1800)+(1800*55%)</f>
        <v>2790</v>
      </c>
      <c r="L32" s="46"/>
      <c r="M32" s="108"/>
      <c r="N32" s="61">
        <f t="shared" si="32"/>
        <v>73385</v>
      </c>
      <c r="O32" s="46">
        <f t="shared" si="28"/>
        <v>8351.4</v>
      </c>
      <c r="P32" s="74">
        <v>0</v>
      </c>
      <c r="Q32" s="146">
        <v>0</v>
      </c>
      <c r="R32" s="46">
        <v>110</v>
      </c>
      <c r="S32" s="46"/>
      <c r="T32" s="46"/>
      <c r="U32" s="46">
        <v>206</v>
      </c>
      <c r="V32" s="46"/>
      <c r="W32" s="63"/>
      <c r="X32" s="46">
        <f t="shared" si="33"/>
        <v>8667.4</v>
      </c>
      <c r="Y32" s="46">
        <f t="shared" si="34"/>
        <v>64717.599999999999</v>
      </c>
      <c r="Z32" s="53"/>
      <c r="AA32" s="54"/>
      <c r="AB32" s="54"/>
      <c r="AC32" s="11"/>
      <c r="AD32" s="113"/>
      <c r="AE32" s="66"/>
      <c r="AF32" s="66"/>
      <c r="AG32" s="11"/>
      <c r="AH32" s="55"/>
      <c r="AI32" s="38"/>
      <c r="AJ32" s="10">
        <v>37600</v>
      </c>
      <c r="AK32" s="10"/>
      <c r="AL32" s="10">
        <f t="shared" si="0"/>
        <v>7300</v>
      </c>
    </row>
    <row r="33" spans="1:98" s="2" customFormat="1" ht="36" customHeight="1">
      <c r="A33" s="40">
        <f t="shared" si="35"/>
        <v>16</v>
      </c>
      <c r="B33" s="147" t="s">
        <v>47</v>
      </c>
      <c r="C33" s="145">
        <v>44900</v>
      </c>
      <c r="D33" s="59">
        <v>6</v>
      </c>
      <c r="E33" s="59">
        <f t="shared" si="26"/>
        <v>69595</v>
      </c>
      <c r="F33" s="46"/>
      <c r="G33" s="60">
        <f t="shared" si="31"/>
        <v>44900</v>
      </c>
      <c r="H33" s="46">
        <f>+G33*55%</f>
        <v>24695.000000000004</v>
      </c>
      <c r="I33" s="46">
        <v>0</v>
      </c>
      <c r="J33" s="46">
        <v>1000</v>
      </c>
      <c r="K33" s="46">
        <f>(1800)+(1800*55%)</f>
        <v>2790</v>
      </c>
      <c r="L33" s="46"/>
      <c r="M33" s="108"/>
      <c r="N33" s="61">
        <f t="shared" si="32"/>
        <v>73385</v>
      </c>
      <c r="O33" s="46">
        <f t="shared" si="28"/>
        <v>8351.4</v>
      </c>
      <c r="P33" s="74">
        <v>0</v>
      </c>
      <c r="Q33" s="146">
        <v>0</v>
      </c>
      <c r="R33" s="46">
        <v>110</v>
      </c>
      <c r="S33" s="46"/>
      <c r="T33" s="46"/>
      <c r="U33" s="46">
        <v>206</v>
      </c>
      <c r="V33" s="46"/>
      <c r="W33" s="63"/>
      <c r="X33" s="46">
        <f t="shared" si="33"/>
        <v>8667.4</v>
      </c>
      <c r="Y33" s="46">
        <f t="shared" si="34"/>
        <v>64717.599999999999</v>
      </c>
      <c r="Z33" s="53"/>
      <c r="AA33" s="54"/>
      <c r="AB33" s="54"/>
      <c r="AC33" s="11"/>
      <c r="AD33" s="113"/>
      <c r="AE33" s="66"/>
      <c r="AF33" s="66"/>
      <c r="AG33" s="11"/>
      <c r="AH33" s="55"/>
      <c r="AI33" s="38"/>
      <c r="AJ33" s="10">
        <v>37600</v>
      </c>
      <c r="AK33" s="10"/>
      <c r="AL33" s="10">
        <f t="shared" si="0"/>
        <v>7300</v>
      </c>
    </row>
    <row r="34" spans="1:98" s="39" customFormat="1" ht="36" customHeight="1" thickBot="1">
      <c r="A34" s="148"/>
      <c r="B34" s="149"/>
      <c r="C34" s="150">
        <f>SUM(C25:C33)</f>
        <v>365400</v>
      </c>
      <c r="D34" s="82"/>
      <c r="E34" s="82"/>
      <c r="F34" s="81">
        <f t="shared" ref="F34:P34" si="36">+F25+F27+F28+F30+F31+F32+F33</f>
        <v>0</v>
      </c>
      <c r="G34" s="81">
        <f t="shared" si="36"/>
        <v>365400</v>
      </c>
      <c r="H34" s="81">
        <f t="shared" si="36"/>
        <v>200970</v>
      </c>
      <c r="I34" s="81">
        <f t="shared" si="36"/>
        <v>13600</v>
      </c>
      <c r="J34" s="81">
        <f t="shared" si="36"/>
        <v>7000</v>
      </c>
      <c r="K34" s="81">
        <f t="shared" si="36"/>
        <v>22320</v>
      </c>
      <c r="L34" s="81">
        <f t="shared" si="36"/>
        <v>0</v>
      </c>
      <c r="M34" s="81">
        <f t="shared" si="36"/>
        <v>0</v>
      </c>
      <c r="N34" s="81">
        <f t="shared" si="36"/>
        <v>609290</v>
      </c>
      <c r="O34" s="81">
        <f>+O25+O27+O28+O30+O31+O32+O33-1</f>
        <v>67963.399999999994</v>
      </c>
      <c r="P34" s="81">
        <f t="shared" si="36"/>
        <v>9000</v>
      </c>
      <c r="Q34" s="81">
        <f>+Q25+Q27+Q28+Q30+Q31+Q32+Q33</f>
        <v>90</v>
      </c>
      <c r="R34" s="81">
        <f>+R25+R27+R28+R30+R31+R32+R33</f>
        <v>770</v>
      </c>
      <c r="S34" s="81">
        <f>+S25+S27+S28+S30+S31+S32+S33</f>
        <v>0</v>
      </c>
      <c r="T34" s="81"/>
      <c r="U34" s="81">
        <f>+U25+U27+U28+U30+U31+U32+U33</f>
        <v>1516</v>
      </c>
      <c r="V34" s="81">
        <f>+V25+V27+V28+V30+V31+V32+V33</f>
        <v>0</v>
      </c>
      <c r="W34" s="81"/>
      <c r="X34" s="81">
        <f>+X25+X27+X28+X30+X31+X32+X33-1</f>
        <v>79339.39999999998</v>
      </c>
      <c r="Y34" s="81">
        <f>SUM(Y24:Y33)+1</f>
        <v>529950.6</v>
      </c>
      <c r="Z34" s="85"/>
      <c r="AA34" s="86"/>
      <c r="AB34" s="54"/>
      <c r="AC34" s="11"/>
      <c r="AD34" s="87"/>
      <c r="AE34" s="87"/>
      <c r="AF34" s="87"/>
      <c r="AG34" s="89"/>
      <c r="AH34" s="55"/>
      <c r="AI34" s="11"/>
      <c r="AJ34" s="10">
        <v>335300</v>
      </c>
      <c r="AK34" s="10"/>
      <c r="AL34" s="10">
        <f t="shared" si="0"/>
        <v>30100</v>
      </c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</row>
    <row r="35" spans="1:98" s="2" customFormat="1" ht="36" customHeight="1" thickTop="1">
      <c r="A35" s="40">
        <v>17</v>
      </c>
      <c r="B35" s="58" t="s">
        <v>48</v>
      </c>
      <c r="C35" s="145">
        <v>44900</v>
      </c>
      <c r="D35" s="59">
        <v>6</v>
      </c>
      <c r="E35" s="59">
        <f t="shared" si="26"/>
        <v>69595</v>
      </c>
      <c r="F35" s="46"/>
      <c r="G35" s="60">
        <f t="shared" si="31"/>
        <v>44900</v>
      </c>
      <c r="H35" s="46">
        <f>+G35*55%</f>
        <v>24695.000000000004</v>
      </c>
      <c r="I35" s="46">
        <v>0</v>
      </c>
      <c r="J35" s="46">
        <v>1000</v>
      </c>
      <c r="K35" s="46">
        <f>(1800)+(1800*55%)</f>
        <v>2790</v>
      </c>
      <c r="L35" s="46"/>
      <c r="M35" s="46">
        <v>0</v>
      </c>
      <c r="N35" s="61">
        <f t="shared" ref="N35" si="37">SUM(G35:M35)</f>
        <v>73385</v>
      </c>
      <c r="O35" s="46">
        <f t="shared" si="28"/>
        <v>8351.4</v>
      </c>
      <c r="P35" s="74">
        <v>0</v>
      </c>
      <c r="Q35" s="46">
        <v>0</v>
      </c>
      <c r="R35" s="46">
        <v>110</v>
      </c>
      <c r="S35" s="46"/>
      <c r="T35" s="46"/>
      <c r="U35" s="46">
        <v>206</v>
      </c>
      <c r="V35" s="46"/>
      <c r="W35" s="63"/>
      <c r="X35" s="46">
        <f t="shared" ref="X35:X36" si="38">SUM(O35:W35)</f>
        <v>8667.4</v>
      </c>
      <c r="Y35" s="46">
        <f t="shared" ref="Y35:Y37" si="39">+N35-X35</f>
        <v>64717.599999999999</v>
      </c>
      <c r="Z35" s="53"/>
      <c r="AA35" s="54"/>
      <c r="AB35" s="54"/>
      <c r="AC35" s="11"/>
      <c r="AD35" s="113"/>
      <c r="AE35" s="66"/>
      <c r="AF35" s="66"/>
      <c r="AG35" s="11"/>
      <c r="AH35" s="55"/>
      <c r="AI35" s="38"/>
      <c r="AJ35" s="10">
        <v>37600</v>
      </c>
      <c r="AK35" s="10"/>
      <c r="AL35" s="10">
        <f t="shared" si="0"/>
        <v>7300</v>
      </c>
    </row>
    <row r="36" spans="1:98" s="2" customFormat="1" ht="37.5" customHeight="1">
      <c r="A36" s="40">
        <v>18</v>
      </c>
      <c r="B36" s="58" t="s">
        <v>49</v>
      </c>
      <c r="C36" s="46">
        <v>49000</v>
      </c>
      <c r="D36" s="59">
        <v>7</v>
      </c>
      <c r="E36" s="59">
        <f t="shared" si="26"/>
        <v>75950</v>
      </c>
      <c r="F36" s="46"/>
      <c r="G36" s="60">
        <f t="shared" si="31"/>
        <v>49000</v>
      </c>
      <c r="H36" s="46">
        <f>+G36*55%</f>
        <v>26950.000000000004</v>
      </c>
      <c r="I36" s="46">
        <v>0</v>
      </c>
      <c r="J36" s="46">
        <v>1000</v>
      </c>
      <c r="K36" s="46">
        <f>(3600)+(3600*55%)</f>
        <v>5580</v>
      </c>
      <c r="L36" s="46"/>
      <c r="M36" s="46">
        <v>0</v>
      </c>
      <c r="N36" s="61">
        <f>SUM(G36:M36)</f>
        <v>82530</v>
      </c>
      <c r="O36" s="46">
        <f t="shared" si="28"/>
        <v>9114</v>
      </c>
      <c r="P36" s="151">
        <v>0</v>
      </c>
      <c r="Q36" s="46">
        <v>0</v>
      </c>
      <c r="R36" s="46">
        <v>110</v>
      </c>
      <c r="S36" s="46">
        <v>0</v>
      </c>
      <c r="T36" s="46"/>
      <c r="U36" s="46">
        <v>206</v>
      </c>
      <c r="V36" s="46"/>
      <c r="W36" s="63"/>
      <c r="X36" s="46">
        <f t="shared" si="38"/>
        <v>9430</v>
      </c>
      <c r="Y36" s="46">
        <f t="shared" si="39"/>
        <v>73100</v>
      </c>
      <c r="Z36" s="53"/>
      <c r="AA36" s="54"/>
      <c r="AB36" s="54"/>
      <c r="AC36" s="11"/>
      <c r="AD36" s="70"/>
      <c r="AE36" s="66"/>
      <c r="AF36" s="66"/>
      <c r="AG36" s="11"/>
      <c r="AH36" s="55"/>
      <c r="AI36" s="38"/>
      <c r="AJ36" s="10">
        <v>44900</v>
      </c>
      <c r="AK36" s="10"/>
      <c r="AL36" s="10">
        <f t="shared" si="0"/>
        <v>4100</v>
      </c>
      <c r="AM36" s="2">
        <f>+N36-X36</f>
        <v>73100</v>
      </c>
    </row>
    <row r="37" spans="1:98" s="2" customFormat="1" ht="36" customHeight="1">
      <c r="A37" s="40">
        <v>19</v>
      </c>
      <c r="B37" s="58" t="s">
        <v>50</v>
      </c>
      <c r="C37" s="46">
        <v>38700</v>
      </c>
      <c r="D37" s="59">
        <v>6</v>
      </c>
      <c r="E37" s="59">
        <f t="shared" si="26"/>
        <v>59985</v>
      </c>
      <c r="F37" s="46"/>
      <c r="G37" s="60">
        <f t="shared" si="31"/>
        <v>38700</v>
      </c>
      <c r="H37" s="46">
        <f>+G37*55%</f>
        <v>21285</v>
      </c>
      <c r="I37" s="46">
        <v>0</v>
      </c>
      <c r="J37" s="46">
        <v>1000</v>
      </c>
      <c r="K37" s="46">
        <f>(1800)+(1800*55%)</f>
        <v>2790</v>
      </c>
      <c r="L37" s="46"/>
      <c r="M37" s="108"/>
      <c r="N37" s="61">
        <f>SUM(G37:M37)</f>
        <v>63775</v>
      </c>
      <c r="O37" s="46">
        <f t="shared" si="28"/>
        <v>7198.2</v>
      </c>
      <c r="P37" s="74">
        <v>0</v>
      </c>
      <c r="Q37" s="46">
        <v>0</v>
      </c>
      <c r="R37" s="46">
        <v>110</v>
      </c>
      <c r="S37" s="46">
        <v>0</v>
      </c>
      <c r="T37" s="46"/>
      <c r="U37" s="46">
        <v>206</v>
      </c>
      <c r="V37" s="46"/>
      <c r="W37" s="63"/>
      <c r="X37" s="46">
        <f>SUM(O37:W37)</f>
        <v>7514.2</v>
      </c>
      <c r="Y37" s="46">
        <f t="shared" si="39"/>
        <v>56260.800000000003</v>
      </c>
      <c r="Z37" s="53"/>
      <c r="AA37" s="54"/>
      <c r="AB37" s="54"/>
      <c r="AC37" s="11"/>
      <c r="AD37" s="113"/>
      <c r="AE37" s="66"/>
      <c r="AF37" s="66"/>
      <c r="AG37" s="11"/>
      <c r="AH37" s="55"/>
      <c r="AI37" s="38"/>
      <c r="AJ37" s="10">
        <v>35400</v>
      </c>
      <c r="AK37" s="10"/>
      <c r="AL37" s="10">
        <f t="shared" si="0"/>
        <v>3300</v>
      </c>
    </row>
    <row r="38" spans="1:98" s="39" customFormat="1" ht="36" customHeight="1">
      <c r="A38" s="152"/>
      <c r="B38" s="153" t="s">
        <v>51</v>
      </c>
      <c r="C38" s="154"/>
      <c r="D38" s="155"/>
      <c r="E38" s="155"/>
      <c r="F38" s="156"/>
      <c r="G38" s="60"/>
      <c r="H38" s="156"/>
      <c r="I38" s="156"/>
      <c r="J38" s="156"/>
      <c r="K38" s="156"/>
      <c r="L38" s="156"/>
      <c r="M38" s="156"/>
      <c r="N38" s="157"/>
      <c r="O38" s="46"/>
      <c r="P38" s="158">
        <v>0</v>
      </c>
      <c r="Q38" s="159"/>
      <c r="R38" s="46"/>
      <c r="S38" s="159"/>
      <c r="T38" s="159"/>
      <c r="U38" s="159"/>
      <c r="V38" s="159"/>
      <c r="W38" s="159"/>
      <c r="X38" s="46"/>
      <c r="Y38" s="159"/>
      <c r="Z38" s="119"/>
      <c r="AA38" s="86"/>
      <c r="AB38" s="54"/>
      <c r="AC38" s="38"/>
      <c r="AD38" s="38"/>
      <c r="AE38" s="38"/>
      <c r="AF38" s="38"/>
      <c r="AG38" s="86"/>
      <c r="AH38" s="160"/>
      <c r="AI38" s="38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</row>
    <row r="39" spans="1:98" s="39" customFormat="1" ht="36" hidden="1" customHeight="1">
      <c r="A39" s="152"/>
      <c r="B39" s="161"/>
      <c r="C39" s="154"/>
      <c r="D39" s="155"/>
      <c r="E39" s="155"/>
      <c r="F39" s="156"/>
      <c r="G39" s="60"/>
      <c r="H39" s="46"/>
      <c r="I39" s="46"/>
      <c r="J39" s="46"/>
      <c r="K39" s="46"/>
      <c r="L39" s="46"/>
      <c r="M39" s="46"/>
      <c r="N39" s="157"/>
      <c r="O39" s="46"/>
      <c r="P39" s="162"/>
      <c r="Q39" s="46"/>
      <c r="R39" s="46"/>
      <c r="S39" s="46"/>
      <c r="T39" s="46"/>
      <c r="U39" s="46"/>
      <c r="V39" s="46"/>
      <c r="W39" s="63"/>
      <c r="X39" s="46"/>
      <c r="Y39" s="46"/>
      <c r="Z39" s="119"/>
      <c r="AA39" s="86"/>
      <c r="AB39" s="54"/>
      <c r="AC39" s="38"/>
      <c r="AD39" s="38"/>
      <c r="AE39" s="38"/>
      <c r="AF39" s="38"/>
      <c r="AG39" s="86"/>
      <c r="AH39" s="160"/>
      <c r="AI39" s="38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</row>
    <row r="40" spans="1:98" s="39" customFormat="1" ht="36" hidden="1" customHeight="1">
      <c r="A40" s="152"/>
      <c r="B40" s="163" t="s">
        <v>52</v>
      </c>
      <c r="C40" s="154">
        <v>0</v>
      </c>
      <c r="D40" s="155"/>
      <c r="E40" s="59">
        <f>+G40+H40</f>
        <v>0</v>
      </c>
      <c r="F40" s="156"/>
      <c r="G40" s="60">
        <f>+C40</f>
        <v>0</v>
      </c>
      <c r="H40" s="46">
        <v>0</v>
      </c>
      <c r="I40" s="46">
        <v>0</v>
      </c>
      <c r="J40" s="46">
        <v>0</v>
      </c>
      <c r="K40" s="46">
        <v>0</v>
      </c>
      <c r="L40" s="46"/>
      <c r="M40" s="46">
        <v>0</v>
      </c>
      <c r="N40" s="157">
        <f>+C40</f>
        <v>0</v>
      </c>
      <c r="O40" s="46">
        <f>+C40*12%</f>
        <v>0</v>
      </c>
      <c r="P40" s="162"/>
      <c r="Q40" s="46">
        <v>0</v>
      </c>
      <c r="R40" s="46"/>
      <c r="S40" s="46">
        <v>0</v>
      </c>
      <c r="T40" s="46"/>
      <c r="U40" s="46">
        <v>0</v>
      </c>
      <c r="V40" s="46"/>
      <c r="W40" s="63"/>
      <c r="X40" s="46">
        <f>SUM(O40:W40)</f>
        <v>0</v>
      </c>
      <c r="Y40" s="46">
        <f t="shared" ref="Y40:Y41" si="40">+N40-X40</f>
        <v>0</v>
      </c>
      <c r="Z40" s="119"/>
      <c r="AA40" s="86"/>
      <c r="AB40" s="54"/>
      <c r="AC40" s="38"/>
      <c r="AD40" s="38"/>
      <c r="AE40" s="38"/>
      <c r="AF40" s="38"/>
      <c r="AG40" s="86"/>
      <c r="AH40" s="160"/>
      <c r="AI40" s="38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1:98" s="39" customFormat="1" ht="36" customHeight="1">
      <c r="A41" s="152">
        <v>20</v>
      </c>
      <c r="B41" s="149" t="s">
        <v>53</v>
      </c>
      <c r="C41" s="154">
        <v>25000</v>
      </c>
      <c r="D41" s="155"/>
      <c r="E41" s="59">
        <f t="shared" ref="E41" si="41">+C41+H41</f>
        <v>25000</v>
      </c>
      <c r="F41" s="156"/>
      <c r="G41" s="60">
        <f>+C41</f>
        <v>25000</v>
      </c>
      <c r="H41" s="46">
        <v>0</v>
      </c>
      <c r="I41" s="46"/>
      <c r="J41" s="46"/>
      <c r="K41" s="46"/>
      <c r="L41" s="46"/>
      <c r="M41" s="46"/>
      <c r="N41" s="157">
        <f t="shared" ref="N41" si="42">SUM(G41:K41)</f>
        <v>25000</v>
      </c>
      <c r="O41" s="46">
        <f t="shared" ref="O41" si="43">+C41*12%</f>
        <v>3000</v>
      </c>
      <c r="P41" s="74">
        <v>0</v>
      </c>
      <c r="Q41" s="46">
        <v>0</v>
      </c>
      <c r="R41" s="46">
        <v>110</v>
      </c>
      <c r="S41" s="46">
        <v>0</v>
      </c>
      <c r="T41" s="46"/>
      <c r="U41" s="46">
        <v>0</v>
      </c>
      <c r="V41" s="46"/>
      <c r="W41" s="63"/>
      <c r="X41" s="46">
        <f t="shared" ref="X41" si="44">SUM(O41:U41)</f>
        <v>3110</v>
      </c>
      <c r="Y41" s="46">
        <f t="shared" si="40"/>
        <v>21890</v>
      </c>
      <c r="Z41" s="119"/>
      <c r="AA41" s="86"/>
      <c r="AB41" s="54"/>
      <c r="AC41" s="38"/>
      <c r="AD41" s="38"/>
      <c r="AE41" s="38"/>
      <c r="AF41" s="38"/>
      <c r="AG41" s="86"/>
      <c r="AH41" s="160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1:98" s="39" customFormat="1" ht="36" hidden="1" customHeight="1">
      <c r="A42" s="40"/>
      <c r="B42" s="163"/>
      <c r="C42" s="154"/>
      <c r="D42" s="155"/>
      <c r="E42" s="59"/>
      <c r="F42" s="156"/>
      <c r="G42" s="60"/>
      <c r="H42" s="46"/>
      <c r="I42" s="46"/>
      <c r="J42" s="46"/>
      <c r="K42" s="46"/>
      <c r="L42" s="46"/>
      <c r="M42" s="46"/>
      <c r="N42" s="157"/>
      <c r="O42" s="46"/>
      <c r="P42" s="164"/>
      <c r="Q42" s="46"/>
      <c r="R42" s="46"/>
      <c r="S42" s="46"/>
      <c r="T42" s="46"/>
      <c r="U42" s="46"/>
      <c r="V42" s="46"/>
      <c r="W42" s="63"/>
      <c r="X42" s="46"/>
      <c r="Y42" s="46"/>
      <c r="Z42" s="119"/>
      <c r="AA42" s="86"/>
      <c r="AB42" s="54"/>
      <c r="AC42" s="38"/>
      <c r="AD42" s="38"/>
      <c r="AE42" s="38"/>
      <c r="AF42" s="38"/>
      <c r="AG42" s="86"/>
      <c r="AH42" s="160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1:98" s="39" customFormat="1" ht="36" hidden="1" customHeight="1">
      <c r="A43" s="152"/>
      <c r="B43" s="163"/>
      <c r="C43" s="154"/>
      <c r="D43" s="155"/>
      <c r="E43" s="59"/>
      <c r="F43" s="156"/>
      <c r="G43" s="60"/>
      <c r="H43" s="46"/>
      <c r="I43" s="46"/>
      <c r="J43" s="46"/>
      <c r="K43" s="46"/>
      <c r="L43" s="46"/>
      <c r="M43" s="46"/>
      <c r="N43" s="157"/>
      <c r="O43" s="46"/>
      <c r="P43" s="165"/>
      <c r="Q43" s="46"/>
      <c r="R43" s="46"/>
      <c r="S43" s="46"/>
      <c r="T43" s="46"/>
      <c r="U43" s="46"/>
      <c r="V43" s="46"/>
      <c r="W43" s="63"/>
      <c r="X43" s="46"/>
      <c r="Y43" s="46"/>
      <c r="Z43" s="119"/>
      <c r="AA43" s="86"/>
      <c r="AB43" s="54"/>
      <c r="AC43" s="38"/>
      <c r="AD43" s="38"/>
      <c r="AE43" s="38"/>
      <c r="AF43" s="38"/>
      <c r="AG43" s="86"/>
      <c r="AH43" s="160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</row>
    <row r="44" spans="1:98" s="39" customFormat="1" ht="30.75" hidden="1" customHeight="1">
      <c r="A44" s="40"/>
      <c r="B44" s="166"/>
      <c r="C44" s="131"/>
      <c r="D44" s="107"/>
      <c r="E44" s="107"/>
      <c r="F44" s="94"/>
      <c r="G44" s="142"/>
      <c r="H44" s="131"/>
      <c r="I44" s="119"/>
      <c r="J44" s="119"/>
      <c r="K44" s="119"/>
      <c r="L44" s="119"/>
      <c r="M44" s="119"/>
      <c r="N44" s="167"/>
      <c r="O44" s="119"/>
      <c r="P44" s="168"/>
      <c r="Q44" s="119"/>
      <c r="R44" s="46"/>
      <c r="S44" s="119"/>
      <c r="T44" s="119"/>
      <c r="U44" s="119"/>
      <c r="V44" s="119"/>
      <c r="W44" s="169"/>
      <c r="X44" s="46"/>
      <c r="Y44" s="130"/>
      <c r="Z44" s="67"/>
      <c r="AA44" s="86"/>
      <c r="AB44" s="54"/>
      <c r="AC44" s="38"/>
      <c r="AD44" s="38"/>
      <c r="AE44" s="38"/>
      <c r="AF44" s="38"/>
      <c r="AG44" s="86"/>
      <c r="AH44" s="160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1:98" s="2" customFormat="1" ht="33" hidden="1" customHeight="1">
      <c r="A45" s="40"/>
      <c r="B45" s="170"/>
      <c r="C45" s="46"/>
      <c r="D45" s="102"/>
      <c r="E45" s="102"/>
      <c r="F45" s="46"/>
      <c r="G45" s="60"/>
      <c r="H45" s="46"/>
      <c r="I45" s="46"/>
      <c r="J45" s="46"/>
      <c r="K45" s="46"/>
      <c r="L45" s="46"/>
      <c r="M45" s="46"/>
      <c r="N45" s="157"/>
      <c r="O45" s="46"/>
      <c r="P45" s="171"/>
      <c r="Q45" s="46"/>
      <c r="R45" s="46"/>
      <c r="S45" s="46"/>
      <c r="T45" s="46"/>
      <c r="U45" s="46"/>
      <c r="V45" s="46"/>
      <c r="W45" s="63"/>
      <c r="X45" s="46"/>
      <c r="Y45" s="46"/>
      <c r="Z45" s="53"/>
      <c r="AA45" s="54"/>
      <c r="AB45" s="54"/>
      <c r="AC45" s="38"/>
      <c r="AD45" s="38"/>
      <c r="AE45" s="38"/>
      <c r="AF45" s="38"/>
      <c r="AG45" s="38"/>
      <c r="AH45" s="160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</row>
    <row r="46" spans="1:98" s="2" customFormat="1" ht="24.75" hidden="1" customHeight="1">
      <c r="A46" s="40"/>
      <c r="B46" s="58"/>
      <c r="C46" s="46"/>
      <c r="D46" s="102"/>
      <c r="E46" s="102"/>
      <c r="F46" s="46"/>
      <c r="G46" s="60">
        <f t="shared" ref="G46" si="45">SUM(C46:F46)</f>
        <v>0</v>
      </c>
      <c r="H46" s="46">
        <f t="shared" ref="H46" si="46">+G46*34%</f>
        <v>0</v>
      </c>
      <c r="I46" s="46"/>
      <c r="J46" s="46"/>
      <c r="K46" s="46"/>
      <c r="L46" s="46"/>
      <c r="M46" s="46"/>
      <c r="N46" s="157">
        <f t="shared" ref="N46" si="47">SUM(G46:M46)</f>
        <v>0</v>
      </c>
      <c r="O46" s="46"/>
      <c r="P46" s="171"/>
      <c r="Q46" s="46"/>
      <c r="R46" s="46"/>
      <c r="S46" s="46"/>
      <c r="T46" s="46"/>
      <c r="U46" s="46"/>
      <c r="V46" s="46"/>
      <c r="W46" s="63"/>
      <c r="X46" s="46"/>
      <c r="Y46" s="46"/>
      <c r="Z46" s="53"/>
      <c r="AA46" s="54"/>
      <c r="AB46" s="54"/>
      <c r="AC46" s="38"/>
      <c r="AD46" s="38"/>
      <c r="AE46" s="38"/>
      <c r="AF46" s="38"/>
      <c r="AG46" s="38"/>
      <c r="AH46" s="160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</row>
    <row r="47" spans="1:98" s="177" customFormat="1" ht="36" hidden="1" customHeight="1">
      <c r="A47" s="172"/>
      <c r="B47" s="173"/>
      <c r="C47" s="46"/>
      <c r="D47" s="174"/>
      <c r="E47" s="174"/>
      <c r="F47" s="175"/>
      <c r="G47" s="175"/>
      <c r="H47" s="46"/>
      <c r="I47" s="175"/>
      <c r="J47" s="175"/>
      <c r="K47" s="175"/>
      <c r="L47" s="175"/>
      <c r="M47" s="175"/>
      <c r="N47" s="157"/>
      <c r="O47" s="175"/>
      <c r="P47" s="171"/>
      <c r="Q47" s="46"/>
      <c r="R47" s="175"/>
      <c r="S47" s="175"/>
      <c r="T47" s="175"/>
      <c r="U47" s="175"/>
      <c r="V47" s="175"/>
      <c r="W47" s="175"/>
      <c r="X47" s="175"/>
      <c r="Y47" s="175"/>
      <c r="Z47" s="175"/>
      <c r="AA47" s="176"/>
      <c r="AB47" s="176"/>
      <c r="AC47" s="38"/>
      <c r="AD47" s="38"/>
      <c r="AE47" s="38"/>
      <c r="AF47" s="38"/>
      <c r="AG47" s="38"/>
      <c r="AH47" s="160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</row>
    <row r="48" spans="1:98" s="2" customFormat="1" ht="36" hidden="1" customHeight="1">
      <c r="A48" s="40"/>
      <c r="B48" s="58"/>
      <c r="C48" s="178"/>
      <c r="D48" s="179"/>
      <c r="E48" s="179"/>
      <c r="F48" s="178"/>
      <c r="G48" s="180"/>
      <c r="H48" s="178"/>
      <c r="I48" s="178"/>
      <c r="J48" s="178"/>
      <c r="K48" s="178"/>
      <c r="L48" s="178"/>
      <c r="M48" s="178"/>
      <c r="N48" s="181"/>
      <c r="O48" s="178"/>
      <c r="P48" s="182"/>
      <c r="Q48" s="178"/>
      <c r="R48" s="178"/>
      <c r="S48" s="178"/>
      <c r="T48" s="178"/>
      <c r="U48" s="178"/>
      <c r="V48" s="178"/>
      <c r="W48" s="183"/>
      <c r="X48" s="178"/>
      <c r="Y48" s="178"/>
      <c r="Z48" s="53"/>
      <c r="AA48" s="54"/>
      <c r="AB48" s="54"/>
      <c r="AC48" s="38"/>
      <c r="AD48" s="38"/>
      <c r="AE48" s="38"/>
      <c r="AF48" s="38"/>
      <c r="AG48" s="38"/>
      <c r="AH48" s="160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</row>
    <row r="49" spans="1:98" s="2" customFormat="1" ht="36" hidden="1" customHeight="1">
      <c r="A49" s="40"/>
      <c r="B49" s="58"/>
      <c r="C49" s="178"/>
      <c r="D49" s="179"/>
      <c r="E49" s="179"/>
      <c r="F49" s="178"/>
      <c r="G49" s="180"/>
      <c r="H49" s="178"/>
      <c r="I49" s="178"/>
      <c r="J49" s="178"/>
      <c r="K49" s="178"/>
      <c r="L49" s="178"/>
      <c r="M49" s="178"/>
      <c r="N49" s="181"/>
      <c r="O49" s="178"/>
      <c r="P49" s="182"/>
      <c r="Q49" s="178"/>
      <c r="R49" s="178"/>
      <c r="S49" s="178"/>
      <c r="T49" s="178"/>
      <c r="U49" s="178"/>
      <c r="V49" s="178"/>
      <c r="W49" s="183"/>
      <c r="X49" s="178"/>
      <c r="Y49" s="178"/>
      <c r="Z49" s="53"/>
      <c r="AA49" s="54"/>
      <c r="AB49" s="54"/>
      <c r="AC49" s="38"/>
      <c r="AD49" s="38"/>
      <c r="AE49" s="38"/>
      <c r="AF49" s="38"/>
      <c r="AG49" s="38"/>
      <c r="AH49" s="160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</row>
    <row r="50" spans="1:98" s="92" customFormat="1" ht="36" customHeight="1" thickBot="1">
      <c r="A50" s="93"/>
      <c r="B50" s="184"/>
      <c r="C50" s="185">
        <f>SUM(C35:C43)</f>
        <v>157600</v>
      </c>
      <c r="D50" s="186"/>
      <c r="E50" s="186"/>
      <c r="F50" s="185">
        <f t="shared" ref="F50:M50" si="48">+F35+F36+F37+F39+F40+F43+F45+F47</f>
        <v>0</v>
      </c>
      <c r="G50" s="185">
        <f t="shared" ref="G50:K50" si="49">SUM(G35:G43)</f>
        <v>157600</v>
      </c>
      <c r="H50" s="185">
        <f t="shared" si="49"/>
        <v>72930</v>
      </c>
      <c r="I50" s="185">
        <f t="shared" si="49"/>
        <v>0</v>
      </c>
      <c r="J50" s="185">
        <f t="shared" si="49"/>
        <v>3000</v>
      </c>
      <c r="K50" s="185">
        <f t="shared" si="49"/>
        <v>11160</v>
      </c>
      <c r="L50" s="185">
        <f t="shared" si="48"/>
        <v>0</v>
      </c>
      <c r="M50" s="185">
        <f t="shared" si="48"/>
        <v>0</v>
      </c>
      <c r="N50" s="84">
        <f>+N35+N36+N37+N39+N40+N43+N45+N47+N41+N42</f>
        <v>244690</v>
      </c>
      <c r="O50" s="81">
        <f>SUM(O35:O43)-1</f>
        <v>27662.600000000002</v>
      </c>
      <c r="P50" s="84">
        <f>+P35+P36+P37+P39+P40+P43+P45+P47+P41+P42</f>
        <v>0</v>
      </c>
      <c r="Q50" s="81">
        <f t="shared" ref="Q50:W50" si="50">SUM(Q35:Q43)</f>
        <v>0</v>
      </c>
      <c r="R50" s="81">
        <f t="shared" si="50"/>
        <v>440</v>
      </c>
      <c r="S50" s="81">
        <f t="shared" si="50"/>
        <v>0</v>
      </c>
      <c r="T50" s="81">
        <f t="shared" si="50"/>
        <v>0</v>
      </c>
      <c r="U50" s="81">
        <f t="shared" si="50"/>
        <v>618</v>
      </c>
      <c r="V50" s="81">
        <f t="shared" si="50"/>
        <v>0</v>
      </c>
      <c r="W50" s="81">
        <f t="shared" si="50"/>
        <v>0</v>
      </c>
      <c r="X50" s="81">
        <f>SUM(X35:X43)-1</f>
        <v>28720.600000000002</v>
      </c>
      <c r="Y50" s="81">
        <f>SUM(Y35:Y49)+1</f>
        <v>215969.40000000002</v>
      </c>
      <c r="Z50" s="119"/>
      <c r="AA50" s="86"/>
      <c r="AB50" s="187"/>
      <c r="AC50" s="38"/>
      <c r="AD50" s="38"/>
      <c r="AE50" s="86"/>
      <c r="AF50" s="38"/>
      <c r="AG50" s="86"/>
      <c r="AH50" s="86"/>
      <c r="AI50" s="86"/>
      <c r="AJ50" s="86"/>
      <c r="AK50" s="86"/>
      <c r="AL50" s="38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</row>
    <row r="51" spans="1:98" s="92" customFormat="1" ht="36" hidden="1" customHeight="1">
      <c r="A51" s="93"/>
      <c r="B51" s="119"/>
      <c r="C51" s="95"/>
      <c r="D51" s="96"/>
      <c r="E51" s="96"/>
      <c r="F51" s="95"/>
      <c r="G51" s="97"/>
      <c r="H51" s="48"/>
      <c r="I51" s="95"/>
      <c r="J51" s="95"/>
      <c r="K51" s="95"/>
      <c r="L51" s="95"/>
      <c r="M51" s="95"/>
      <c r="N51" s="188"/>
      <c r="O51" s="95"/>
      <c r="P51" s="189"/>
      <c r="Q51" s="95"/>
      <c r="R51" s="95"/>
      <c r="S51" s="95"/>
      <c r="T51" s="95"/>
      <c r="U51" s="95"/>
      <c r="V51" s="95"/>
      <c r="W51" s="99"/>
      <c r="X51" s="95"/>
      <c r="Y51" s="100"/>
      <c r="Z51" s="119"/>
      <c r="AA51" s="86"/>
      <c r="AB51" s="86"/>
      <c r="AC51" s="38"/>
      <c r="AD51" s="38"/>
      <c r="AE51" s="86"/>
      <c r="AF51" s="38"/>
      <c r="AG51" s="86"/>
      <c r="AH51" s="86"/>
      <c r="AI51" s="86"/>
      <c r="AJ51" s="86"/>
      <c r="AK51" s="86"/>
      <c r="AL51" s="38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</row>
    <row r="52" spans="1:98" s="195" customFormat="1" ht="36" customHeight="1" thickTop="1" thickBot="1">
      <c r="A52" s="102"/>
      <c r="B52" s="119" t="s">
        <v>54</v>
      </c>
      <c r="C52" s="190">
        <f>+C14+C23+C34+C50</f>
        <v>1324407</v>
      </c>
      <c r="D52" s="191">
        <f>+D14+D23+D34+D50</f>
        <v>0</v>
      </c>
      <c r="E52" s="190">
        <f>+E7+E9+E11+E13+E17+E18+E19+E21+E22+E25+E27+E28+E30+E31+E32+E33+E35+E36+E37+E39+E40+E43</f>
        <v>1974862</v>
      </c>
      <c r="F52" s="190">
        <f>+F14+F23+F34+F50</f>
        <v>0</v>
      </c>
      <c r="G52" s="190">
        <f>+G50+G34+G23+G14+0</f>
        <v>1324407</v>
      </c>
      <c r="H52" s="190">
        <f>+H50+H34+H23+H14+0</f>
        <v>675455</v>
      </c>
      <c r="I52" s="190">
        <f t="shared" ref="I52:S52" si="51">+I14+I23+I34+I50</f>
        <v>64600</v>
      </c>
      <c r="J52" s="190">
        <f t="shared" si="51"/>
        <v>18000</v>
      </c>
      <c r="K52" s="190">
        <f t="shared" si="51"/>
        <v>75330</v>
      </c>
      <c r="L52" s="190">
        <f t="shared" si="51"/>
        <v>0</v>
      </c>
      <c r="M52" s="190">
        <f t="shared" si="51"/>
        <v>0</v>
      </c>
      <c r="N52" s="192">
        <f t="shared" si="51"/>
        <v>2157792</v>
      </c>
      <c r="O52" s="190">
        <f>+O14+O23+O34+O50</f>
        <v>239982.44</v>
      </c>
      <c r="P52" s="193">
        <f>+P14+P23+P34+P50</f>
        <v>153500</v>
      </c>
      <c r="Q52" s="190">
        <f t="shared" si="51"/>
        <v>495</v>
      </c>
      <c r="R52" s="190">
        <f t="shared" si="51"/>
        <v>2200</v>
      </c>
      <c r="S52" s="190">
        <f t="shared" si="51"/>
        <v>0</v>
      </c>
      <c r="T52" s="190">
        <f>+T50+T23</f>
        <v>0</v>
      </c>
      <c r="U52" s="190">
        <f>+U14+U23+U34+U50</f>
        <v>3543</v>
      </c>
      <c r="V52" s="190">
        <f>+V14+V23+V34+V50</f>
        <v>0</v>
      </c>
      <c r="W52" s="190"/>
      <c r="X52" s="190">
        <f>+X14+X23+X34+X50</f>
        <v>399720.43999999994</v>
      </c>
      <c r="Y52" s="190">
        <f>+Y14+Y23+Y34+Y50+0</f>
        <v>1758071.56</v>
      </c>
      <c r="Z52" s="101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</row>
    <row r="53" spans="1:98" ht="21" customHeight="1" thickTop="1">
      <c r="A53" s="196"/>
      <c r="B53" s="67"/>
      <c r="D53" s="197"/>
      <c r="E53" s="197"/>
      <c r="F53" s="215">
        <f>+G52+H52</f>
        <v>1999862</v>
      </c>
      <c r="G53" s="215"/>
      <c r="H53" s="215"/>
      <c r="I53" s="198"/>
      <c r="J53" s="198"/>
      <c r="K53" s="198"/>
      <c r="L53" s="216">
        <f>+L52+M52</f>
        <v>0</v>
      </c>
      <c r="M53" s="216"/>
      <c r="N53" s="67"/>
      <c r="O53" s="67"/>
      <c r="P53" s="67"/>
      <c r="Q53" s="67"/>
      <c r="R53" s="198"/>
      <c r="S53" s="198"/>
      <c r="T53" s="198"/>
      <c r="U53" s="198"/>
      <c r="V53" s="198"/>
      <c r="W53" s="77"/>
      <c r="X53" s="198"/>
      <c r="Y53" s="198"/>
      <c r="Z53" s="19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</row>
    <row r="54" spans="1:98" s="2" customFormat="1" hidden="1">
      <c r="A54" s="102"/>
      <c r="B54" s="67"/>
      <c r="C54" s="67"/>
      <c r="D54" s="40"/>
      <c r="E54" s="40"/>
      <c r="F54" s="40"/>
      <c r="G54" s="199"/>
      <c r="H54" s="40"/>
      <c r="I54" s="67"/>
      <c r="J54" s="67"/>
      <c r="K54" s="67"/>
      <c r="L54" s="40"/>
      <c r="M54" s="40"/>
      <c r="N54" s="67"/>
      <c r="O54" s="67"/>
      <c r="P54" s="67"/>
      <c r="Q54" s="67"/>
      <c r="R54" s="67"/>
      <c r="S54" s="67"/>
      <c r="T54" s="67"/>
      <c r="U54" s="67"/>
      <c r="V54" s="67"/>
      <c r="W54" s="77"/>
      <c r="X54" s="67"/>
      <c r="Y54" s="67"/>
      <c r="Z54" s="67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</row>
    <row r="55" spans="1:98" s="114" customFormat="1">
      <c r="A55" s="148">
        <v>21</v>
      </c>
      <c r="B55" s="67" t="s">
        <v>55</v>
      </c>
      <c r="C55" s="46">
        <v>115800</v>
      </c>
      <c r="D55" s="102"/>
      <c r="E55" s="102"/>
      <c r="F55" s="46"/>
      <c r="G55" s="60">
        <f t="shared" ref="G55" si="52">SUM(C55:F55)</f>
        <v>115800</v>
      </c>
      <c r="H55" s="46">
        <f>+G55*55%</f>
        <v>63690.000000000007</v>
      </c>
      <c r="I55" s="46">
        <f>+G55*20%</f>
        <v>23160</v>
      </c>
      <c r="J55" s="46">
        <v>1000</v>
      </c>
      <c r="K55" s="46">
        <f>(3600)+(3600*55%)</f>
        <v>5580</v>
      </c>
      <c r="L55" s="46">
        <v>0</v>
      </c>
      <c r="M55" s="46">
        <v>0</v>
      </c>
      <c r="N55" s="61">
        <f>SUM(G55:M55)</f>
        <v>209230</v>
      </c>
      <c r="O55" s="46">
        <f>ROUND((G55+H55)*12%,0)</f>
        <v>21539</v>
      </c>
      <c r="P55" s="74"/>
      <c r="Q55" s="46">
        <v>60</v>
      </c>
      <c r="R55" s="46"/>
      <c r="S55" s="46">
        <v>0</v>
      </c>
      <c r="T55" s="46"/>
      <c r="U55" s="46">
        <v>0</v>
      </c>
      <c r="V55" s="46"/>
      <c r="W55" s="63"/>
      <c r="X55" s="46">
        <f>SUM(O55:V55)</f>
        <v>21599</v>
      </c>
      <c r="Y55" s="46">
        <f>+N55-X55</f>
        <v>187631</v>
      </c>
      <c r="Z55" s="200"/>
      <c r="AB55" s="2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</row>
    <row r="56" spans="1:98" s="38" customFormat="1" ht="36" customHeight="1">
      <c r="A56" s="54"/>
      <c r="B56" s="202"/>
      <c r="C56" s="203"/>
      <c r="D56" s="203"/>
      <c r="E56" s="203"/>
      <c r="F56" s="54"/>
      <c r="G56" s="203"/>
      <c r="H56" s="203"/>
      <c r="I56" s="54"/>
      <c r="J56" s="203"/>
      <c r="K56" s="203"/>
      <c r="L56" s="54"/>
      <c r="M56" s="203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34"/>
      <c r="AA56" s="54"/>
      <c r="AB56" s="54"/>
      <c r="AH56" s="160"/>
    </row>
    <row r="57" spans="1:98" s="38" customFormat="1" ht="27" customHeight="1">
      <c r="A57" s="205"/>
      <c r="B57" s="202"/>
      <c r="C57" s="54"/>
      <c r="D57" s="203"/>
      <c r="E57" s="203"/>
      <c r="F57" s="54"/>
      <c r="G57" s="54"/>
      <c r="H57" s="54"/>
      <c r="I57" s="54"/>
      <c r="J57" s="54"/>
      <c r="K57" s="54"/>
      <c r="L57" s="54"/>
      <c r="M57" s="54"/>
      <c r="N57" s="54"/>
      <c r="P57" s="206"/>
      <c r="Q57" s="204"/>
      <c r="R57" s="204"/>
      <c r="S57" s="204"/>
      <c r="T57" s="204"/>
      <c r="U57" s="204"/>
      <c r="V57" s="204"/>
      <c r="W57" s="204"/>
      <c r="X57" s="204"/>
      <c r="Y57" s="204"/>
      <c r="Z57" s="54"/>
      <c r="AA57" s="54"/>
      <c r="AB57" s="54"/>
      <c r="AD57" s="141"/>
      <c r="AH57" s="160"/>
      <c r="AL57" s="141"/>
    </row>
    <row r="58" spans="1:98" s="38" customFormat="1">
      <c r="A58" s="207"/>
      <c r="C58" s="54"/>
      <c r="D58" s="207"/>
      <c r="E58" s="207"/>
      <c r="G58" s="38">
        <f>+G52-G21-25000</f>
        <v>1228100</v>
      </c>
      <c r="H58" s="54">
        <f>+G58*0.55</f>
        <v>675455</v>
      </c>
      <c r="I58" s="54"/>
      <c r="J58" s="54"/>
      <c r="K58" s="54"/>
      <c r="N58" s="204"/>
      <c r="O58" s="208"/>
      <c r="P58" s="209"/>
      <c r="Q58" s="208"/>
      <c r="R58" s="208"/>
      <c r="S58" s="208"/>
      <c r="T58" s="208"/>
      <c r="U58" s="208"/>
      <c r="V58" s="208"/>
      <c r="W58" s="208"/>
      <c r="X58" s="208"/>
      <c r="Y58" s="208"/>
      <c r="Z58" s="54"/>
      <c r="AA58" s="54"/>
      <c r="AB58" s="54"/>
      <c r="AC58" s="11"/>
      <c r="AD58" s="35"/>
      <c r="AE58" s="11"/>
      <c r="AF58" s="11"/>
      <c r="AG58" s="11"/>
      <c r="AH58" s="55"/>
      <c r="AI58" s="11"/>
      <c r="AL58" s="35"/>
    </row>
    <row r="59" spans="1:98" s="38" customFormat="1">
      <c r="A59" s="207"/>
      <c r="D59" s="207"/>
      <c r="E59" s="207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  <c r="AC59" s="11"/>
      <c r="AD59" s="11"/>
      <c r="AE59" s="11"/>
      <c r="AF59" s="11"/>
      <c r="AG59" s="11"/>
      <c r="AH59" s="11"/>
      <c r="AI59" s="11"/>
      <c r="AL59" s="11"/>
    </row>
    <row r="60" spans="1:98" s="38" customFormat="1">
      <c r="A60" s="203"/>
      <c r="B60" s="160"/>
      <c r="D60" s="207"/>
      <c r="E60" s="207"/>
      <c r="AC60" s="11"/>
      <c r="AD60" s="11"/>
      <c r="AE60" s="11"/>
      <c r="AF60" s="11"/>
      <c r="AG60" s="11"/>
      <c r="AH60" s="11"/>
      <c r="AI60" s="11"/>
      <c r="AL60" s="11"/>
    </row>
    <row r="61" spans="1:98" s="38" customFormat="1">
      <c r="A61" s="207"/>
      <c r="D61" s="207"/>
      <c r="E61" s="207"/>
      <c r="AC61" s="11"/>
      <c r="AD61" s="11"/>
      <c r="AE61" s="11"/>
      <c r="AF61" s="11"/>
      <c r="AG61" s="11"/>
      <c r="AH61" s="11"/>
      <c r="AI61" s="11"/>
      <c r="AL61" s="11"/>
    </row>
    <row r="62" spans="1:98" s="38" customFormat="1">
      <c r="C62" s="210"/>
      <c r="D62" s="211"/>
      <c r="E62" s="212"/>
      <c r="F62" s="54"/>
      <c r="G62" s="54"/>
      <c r="H62" s="54"/>
      <c r="I62" s="54"/>
      <c r="J62" s="54"/>
      <c r="K62" s="54"/>
      <c r="L62" s="54"/>
      <c r="M62" s="54"/>
      <c r="N62" s="54"/>
      <c r="AC62" s="11"/>
      <c r="AD62" s="11"/>
      <c r="AE62" s="11"/>
      <c r="AF62" s="11"/>
      <c r="AG62" s="11"/>
      <c r="AH62" s="11"/>
      <c r="AI62" s="11"/>
      <c r="AL62" s="11"/>
    </row>
    <row r="63" spans="1:98" s="38" customFormat="1">
      <c r="D63" s="207"/>
      <c r="E63" s="207"/>
      <c r="AC63" s="11"/>
      <c r="AD63" s="11"/>
      <c r="AE63" s="11"/>
      <c r="AF63" s="11"/>
      <c r="AG63" s="11"/>
      <c r="AH63" s="11"/>
      <c r="AI63" s="11"/>
      <c r="AL63" s="11"/>
    </row>
    <row r="64" spans="1:98" s="38" customFormat="1">
      <c r="A64" s="207"/>
      <c r="D64" s="207"/>
      <c r="E64" s="207"/>
      <c r="AC64" s="11"/>
      <c r="AD64" s="11"/>
      <c r="AE64" s="11"/>
      <c r="AF64" s="11"/>
      <c r="AG64" s="11"/>
      <c r="AH64" s="11"/>
      <c r="AI64" s="11"/>
      <c r="AJ64" s="11"/>
      <c r="AL64" s="11"/>
    </row>
    <row r="65" spans="1:38" s="38" customFormat="1">
      <c r="A65" s="207"/>
      <c r="D65" s="207"/>
      <c r="E65" s="207"/>
      <c r="AC65" s="11"/>
      <c r="AD65" s="11"/>
      <c r="AE65" s="11"/>
      <c r="AF65" s="11"/>
      <c r="AG65" s="11"/>
      <c r="AH65" s="11"/>
      <c r="AI65" s="11"/>
      <c r="AJ65" s="11"/>
      <c r="AL65" s="11"/>
    </row>
    <row r="66" spans="1:38" s="38" customFormat="1">
      <c r="A66" s="207"/>
      <c r="D66" s="207"/>
      <c r="E66" s="207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s="38" customFormat="1">
      <c r="A67" s="207"/>
      <c r="D67" s="207"/>
      <c r="E67" s="207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s="38" customFormat="1">
      <c r="A68" s="207"/>
      <c r="D68" s="207"/>
      <c r="E68" s="207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38" customFormat="1">
      <c r="A69" s="207"/>
      <c r="D69" s="207"/>
      <c r="E69" s="207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s="38" customFormat="1">
      <c r="A70" s="207"/>
      <c r="D70" s="207"/>
      <c r="E70" s="207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s="38" customFormat="1">
      <c r="A71" s="207"/>
      <c r="D71" s="207"/>
      <c r="E71" s="207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s="38" customFormat="1">
      <c r="A72" s="207"/>
      <c r="D72" s="207"/>
      <c r="E72" s="207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s="38" customFormat="1">
      <c r="A73" s="207"/>
      <c r="D73" s="207"/>
      <c r="E73" s="207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s="38" customFormat="1">
      <c r="A74" s="207"/>
      <c r="D74" s="207"/>
      <c r="E74" s="207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s="38" customFormat="1">
      <c r="A75" s="207"/>
      <c r="D75" s="207"/>
      <c r="E75" s="207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s="38" customFormat="1">
      <c r="A76" s="207"/>
      <c r="D76" s="207"/>
      <c r="E76" s="207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s="38" customFormat="1">
      <c r="A77" s="207"/>
      <c r="D77" s="207"/>
      <c r="E77" s="207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s="38" customFormat="1">
      <c r="A78" s="207"/>
      <c r="D78" s="207"/>
      <c r="E78" s="207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s="38" customFormat="1">
      <c r="A79" s="207"/>
      <c r="D79" s="207"/>
      <c r="E79" s="207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s="38" customFormat="1">
      <c r="A80" s="207"/>
      <c r="D80" s="207"/>
      <c r="E80" s="207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s="38" customFormat="1">
      <c r="A81" s="207"/>
      <c r="D81" s="207"/>
      <c r="E81" s="207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s="38" customFormat="1">
      <c r="A82" s="207"/>
      <c r="D82" s="207"/>
      <c r="E82" s="207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s="38" customFormat="1">
      <c r="A83" s="207"/>
      <c r="D83" s="207"/>
      <c r="E83" s="207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s="38" customFormat="1">
      <c r="A84" s="207"/>
      <c r="D84" s="207"/>
      <c r="E84" s="207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s="38" customFormat="1">
      <c r="A85" s="207"/>
      <c r="D85" s="207"/>
      <c r="E85" s="207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s="38" customFormat="1">
      <c r="A86" s="207"/>
      <c r="D86" s="207"/>
      <c r="E86" s="207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s="38" customFormat="1">
      <c r="A87" s="207"/>
      <c r="D87" s="207"/>
      <c r="E87" s="207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s="38" customFormat="1">
      <c r="A88" s="207"/>
      <c r="D88" s="207"/>
      <c r="E88" s="207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s="38" customFormat="1">
      <c r="A89" s="207"/>
      <c r="D89" s="207"/>
      <c r="E89" s="207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s="38" customFormat="1">
      <c r="A90" s="207"/>
      <c r="D90" s="207"/>
      <c r="E90" s="207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s="38" customFormat="1">
      <c r="A91" s="207"/>
      <c r="D91" s="207"/>
      <c r="E91" s="207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s="38" customFormat="1">
      <c r="A92" s="207"/>
      <c r="D92" s="207"/>
      <c r="E92" s="207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s="38" customFormat="1">
      <c r="A93" s="207"/>
      <c r="D93" s="207"/>
      <c r="E93" s="207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s="2" customFormat="1">
      <c r="A94" s="213"/>
      <c r="C94" s="38"/>
      <c r="D94" s="207"/>
      <c r="E94" s="20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C94" s="10"/>
      <c r="AD94" s="11"/>
      <c r="AE94" s="11"/>
      <c r="AF94" s="11"/>
      <c r="AG94" s="11"/>
      <c r="AH94" s="11"/>
      <c r="AI94" s="11"/>
      <c r="AJ94" s="10"/>
      <c r="AK94" s="10"/>
      <c r="AL94" s="10"/>
    </row>
    <row r="95" spans="1:38" s="2" customFormat="1">
      <c r="A95" s="213"/>
      <c r="C95" s="38"/>
      <c r="D95" s="207"/>
      <c r="E95" s="20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C95" s="10"/>
      <c r="AD95" s="11"/>
      <c r="AE95" s="11"/>
      <c r="AF95" s="11"/>
      <c r="AG95" s="11"/>
      <c r="AH95" s="11"/>
      <c r="AI95" s="11"/>
      <c r="AJ95" s="10"/>
      <c r="AK95" s="10"/>
      <c r="AL95" s="10"/>
    </row>
    <row r="96" spans="1:38" s="2" customFormat="1">
      <c r="A96" s="213"/>
      <c r="D96" s="213"/>
      <c r="E96" s="213"/>
      <c r="AC96" s="10"/>
      <c r="AD96" s="11"/>
      <c r="AE96" s="11"/>
      <c r="AF96" s="11"/>
      <c r="AG96" s="11"/>
      <c r="AH96" s="11"/>
      <c r="AI96" s="11"/>
      <c r="AJ96" s="10"/>
      <c r="AK96" s="10"/>
      <c r="AL96" s="10"/>
    </row>
    <row r="97" spans="1:38" s="2" customFormat="1">
      <c r="A97" s="213"/>
      <c r="D97" s="213"/>
      <c r="E97" s="213"/>
      <c r="AC97" s="10"/>
      <c r="AD97" s="11"/>
      <c r="AE97" s="11"/>
      <c r="AF97" s="11"/>
      <c r="AG97" s="11"/>
      <c r="AH97" s="11"/>
      <c r="AI97" s="11"/>
      <c r="AJ97" s="10"/>
      <c r="AK97" s="10"/>
      <c r="AL97" s="10"/>
    </row>
    <row r="98" spans="1:38" s="2" customFormat="1">
      <c r="A98" s="213"/>
      <c r="D98" s="213"/>
      <c r="E98" s="213"/>
      <c r="AC98" s="10"/>
      <c r="AD98" s="11"/>
      <c r="AE98" s="11"/>
      <c r="AF98" s="11"/>
      <c r="AG98" s="11"/>
      <c r="AH98" s="11"/>
      <c r="AI98" s="11"/>
      <c r="AJ98" s="10"/>
      <c r="AK98" s="10"/>
      <c r="AL98" s="10"/>
    </row>
    <row r="99" spans="1:38" s="2" customFormat="1">
      <c r="A99" s="213"/>
      <c r="D99" s="213"/>
      <c r="E99" s="213"/>
      <c r="AC99" s="10"/>
      <c r="AD99" s="11"/>
      <c r="AE99" s="11"/>
      <c r="AF99" s="11"/>
      <c r="AG99" s="11"/>
      <c r="AH99" s="11"/>
      <c r="AI99" s="11"/>
      <c r="AJ99" s="10"/>
      <c r="AK99" s="10"/>
      <c r="AL99" s="10"/>
    </row>
    <row r="100" spans="1:38" s="2" customFormat="1">
      <c r="A100" s="213"/>
      <c r="D100" s="213"/>
      <c r="E100" s="213"/>
      <c r="AC100" s="10"/>
      <c r="AD100" s="11"/>
      <c r="AE100" s="11"/>
      <c r="AF100" s="11"/>
      <c r="AG100" s="11"/>
      <c r="AH100" s="11"/>
      <c r="AI100" s="11"/>
      <c r="AJ100" s="10"/>
      <c r="AK100" s="10"/>
      <c r="AL100" s="10"/>
    </row>
    <row r="101" spans="1:38" s="2" customFormat="1">
      <c r="A101" s="213"/>
      <c r="D101" s="213"/>
      <c r="E101" s="213"/>
      <c r="AC101" s="10"/>
      <c r="AD101" s="11"/>
      <c r="AE101" s="11"/>
      <c r="AF101" s="11"/>
      <c r="AG101" s="11"/>
      <c r="AH101" s="11"/>
      <c r="AI101" s="11"/>
      <c r="AJ101" s="10"/>
      <c r="AK101" s="10"/>
      <c r="AL101" s="10"/>
    </row>
    <row r="102" spans="1:38" s="2" customFormat="1">
      <c r="A102" s="213"/>
      <c r="D102" s="213"/>
      <c r="E102" s="213"/>
      <c r="AC102" s="10"/>
      <c r="AD102" s="11"/>
      <c r="AE102" s="11"/>
      <c r="AF102" s="11"/>
      <c r="AG102" s="11"/>
      <c r="AH102" s="11"/>
      <c r="AI102" s="11"/>
      <c r="AJ102" s="10"/>
      <c r="AK102" s="10"/>
      <c r="AL102" s="10"/>
    </row>
    <row r="103" spans="1:38" s="2" customFormat="1">
      <c r="A103" s="213"/>
      <c r="D103" s="213"/>
      <c r="E103" s="213"/>
      <c r="AC103" s="10"/>
      <c r="AD103" s="11"/>
      <c r="AE103" s="11"/>
      <c r="AF103" s="11"/>
      <c r="AG103" s="11"/>
      <c r="AH103" s="11"/>
      <c r="AI103" s="11"/>
      <c r="AJ103" s="10"/>
      <c r="AK103" s="10"/>
      <c r="AL103" s="10"/>
    </row>
    <row r="104" spans="1:38" s="2" customFormat="1">
      <c r="A104" s="213"/>
      <c r="D104" s="213"/>
      <c r="E104" s="213"/>
      <c r="AC104" s="10"/>
      <c r="AD104" s="11"/>
      <c r="AE104" s="11"/>
      <c r="AF104" s="11"/>
      <c r="AG104" s="11"/>
      <c r="AH104" s="11"/>
      <c r="AI104" s="11"/>
      <c r="AJ104" s="10"/>
      <c r="AK104" s="10"/>
      <c r="AL104" s="10"/>
    </row>
    <row r="105" spans="1:38" s="2" customFormat="1">
      <c r="A105" s="213"/>
      <c r="D105" s="213"/>
      <c r="E105" s="213"/>
      <c r="AC105" s="10"/>
      <c r="AD105" s="11"/>
      <c r="AE105" s="11"/>
      <c r="AF105" s="11"/>
      <c r="AG105" s="11"/>
      <c r="AH105" s="11"/>
      <c r="AI105" s="11"/>
      <c r="AJ105" s="10"/>
      <c r="AK105" s="10"/>
      <c r="AL105" s="10"/>
    </row>
    <row r="106" spans="1:38" s="2" customFormat="1">
      <c r="A106" s="213"/>
      <c r="D106" s="213"/>
      <c r="E106" s="213"/>
      <c r="AC106" s="10"/>
      <c r="AD106" s="11"/>
      <c r="AE106" s="11"/>
      <c r="AF106" s="11"/>
      <c r="AG106" s="11"/>
      <c r="AH106" s="11"/>
      <c r="AI106" s="11"/>
      <c r="AJ106" s="10"/>
      <c r="AK106" s="10"/>
      <c r="AL106" s="10"/>
    </row>
    <row r="107" spans="1:38" s="2" customFormat="1">
      <c r="A107" s="213"/>
      <c r="D107" s="213"/>
      <c r="E107" s="213"/>
      <c r="AC107" s="10"/>
      <c r="AD107" s="11"/>
      <c r="AE107" s="11"/>
      <c r="AF107" s="11"/>
      <c r="AG107" s="11"/>
      <c r="AH107" s="11"/>
      <c r="AI107" s="11"/>
      <c r="AJ107" s="10"/>
      <c r="AK107" s="10"/>
      <c r="AL107" s="10"/>
    </row>
    <row r="108" spans="1:38" s="2" customFormat="1">
      <c r="A108" s="213"/>
      <c r="D108" s="213"/>
      <c r="E108" s="213"/>
      <c r="AC108" s="10"/>
      <c r="AD108" s="11"/>
      <c r="AE108" s="11"/>
      <c r="AF108" s="11"/>
      <c r="AG108" s="11"/>
      <c r="AH108" s="11"/>
      <c r="AI108" s="11"/>
      <c r="AJ108" s="10"/>
      <c r="AK108" s="10"/>
      <c r="AL108" s="10"/>
    </row>
  </sheetData>
  <mergeCells count="3">
    <mergeCell ref="A4:Z4"/>
    <mergeCell ref="F53:H53"/>
    <mergeCell ref="L53:M53"/>
  </mergeCells>
  <pageMargins left="0.2" right="0.16" top="0.19685039370078741" bottom="0.36" header="0.23" footer="0.19685039370078741"/>
  <pageSetup paperSize="9" scale="51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APR25</vt:lpstr>
      <vt:lpstr>Sheet1</vt:lpstr>
      <vt:lpstr>Sheet2</vt:lpstr>
      <vt:lpstr>Sheet3</vt:lpstr>
      <vt:lpstr>'APR25'!Print_Area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2025-05-08T04:22:50Z</dcterms:modified>
</cp:coreProperties>
</file>