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showHorizontalScroll="0" showVerticalScroll="0" xWindow="240" yWindow="105" windowWidth="14805" windowHeight="8010"/>
  </bookViews>
  <sheets>
    <sheet name="APR" sheetId="8" r:id="rId1"/>
  </sheets>
  <definedNames>
    <definedName name="_xlnm._FilterDatabase" localSheetId="0" hidden="1">APR!$B$6:$B$41</definedName>
    <definedName name="_xlnm.Print_Area" localSheetId="0">APR!$A$44:$Z$52</definedName>
  </definedNames>
  <calcPr calcId="125725"/>
</workbook>
</file>

<file path=xl/calcChain.xml><?xml version="1.0" encoding="utf-8"?>
<calcChain xmlns="http://schemas.openxmlformats.org/spreadsheetml/2006/main">
  <c r="G61" i="8"/>
  <c r="C41" l="1"/>
  <c r="AW59" l="1"/>
  <c r="C57" l="1"/>
  <c r="K55" l="1"/>
  <c r="T34" l="1"/>
  <c r="H27" l="1"/>
  <c r="N27" l="1"/>
  <c r="E27"/>
  <c r="O27"/>
  <c r="X27" s="1"/>
  <c r="K37"/>
  <c r="K35"/>
  <c r="K33"/>
  <c r="K32"/>
  <c r="K31"/>
  <c r="K30"/>
  <c r="K25"/>
  <c r="K22"/>
  <c r="K36"/>
  <c r="K28"/>
  <c r="K19"/>
  <c r="K18"/>
  <c r="K17"/>
  <c r="K13"/>
  <c r="K11"/>
  <c r="K9"/>
  <c r="K7"/>
  <c r="G41"/>
  <c r="Y27" l="1"/>
  <c r="O41"/>
  <c r="X41" s="1"/>
  <c r="E41"/>
  <c r="N41"/>
  <c r="C21"/>
  <c r="Y41" l="1"/>
  <c r="P50" l="1"/>
  <c r="P34"/>
  <c r="P23"/>
  <c r="P14"/>
  <c r="P52" l="1"/>
  <c r="K14" l="1"/>
  <c r="C14"/>
  <c r="O40" l="1"/>
  <c r="X40" s="1"/>
  <c r="N40"/>
  <c r="G40"/>
  <c r="E40" s="1"/>
  <c r="Y40" l="1"/>
  <c r="W50" l="1"/>
  <c r="V50"/>
  <c r="U50"/>
  <c r="T50"/>
  <c r="S50"/>
  <c r="R50"/>
  <c r="Q50"/>
  <c r="J50"/>
  <c r="I50"/>
  <c r="C50"/>
  <c r="G25" l="1"/>
  <c r="H25" l="1"/>
  <c r="N25" s="1"/>
  <c r="I25"/>
  <c r="K50"/>
  <c r="E25" l="1"/>
  <c r="O25"/>
  <c r="X25" s="1"/>
  <c r="G7" l="1"/>
  <c r="A9"/>
  <c r="G9"/>
  <c r="U9"/>
  <c r="U14" s="1"/>
  <c r="G10"/>
  <c r="X10"/>
  <c r="G11"/>
  <c r="A13"/>
  <c r="A17" s="1"/>
  <c r="A18" s="1"/>
  <c r="A19" s="1"/>
  <c r="A21" s="1"/>
  <c r="A22" s="1"/>
  <c r="A25" s="1"/>
  <c r="G13"/>
  <c r="F14"/>
  <c r="J14"/>
  <c r="L14"/>
  <c r="M14"/>
  <c r="Q14"/>
  <c r="R14"/>
  <c r="S14"/>
  <c r="V14"/>
  <c r="G17"/>
  <c r="G18"/>
  <c r="G19"/>
  <c r="G21"/>
  <c r="E21" s="1"/>
  <c r="G22"/>
  <c r="F23"/>
  <c r="J23"/>
  <c r="L23"/>
  <c r="M23"/>
  <c r="Q23"/>
  <c r="R23"/>
  <c r="S23"/>
  <c r="T23"/>
  <c r="T52" s="1"/>
  <c r="U23"/>
  <c r="V23"/>
  <c r="G26"/>
  <c r="X26"/>
  <c r="H17" l="1"/>
  <c r="N17" s="1"/>
  <c r="H9"/>
  <c r="N9" s="1"/>
  <c r="H19"/>
  <c r="O19" s="1"/>
  <c r="X19" s="1"/>
  <c r="H18"/>
  <c r="E18" s="1"/>
  <c r="H11"/>
  <c r="E11" s="1"/>
  <c r="H13"/>
  <c r="E13" s="1"/>
  <c r="H22"/>
  <c r="E22" s="1"/>
  <c r="H7"/>
  <c r="N7" s="1"/>
  <c r="I19"/>
  <c r="I22"/>
  <c r="I13"/>
  <c r="G14"/>
  <c r="N10"/>
  <c r="Y10" s="1"/>
  <c r="N21"/>
  <c r="O21"/>
  <c r="X21" s="1"/>
  <c r="C23"/>
  <c r="K23"/>
  <c r="G23"/>
  <c r="I14" l="1"/>
  <c r="I60"/>
  <c r="I61" s="1"/>
  <c r="E17"/>
  <c r="E9"/>
  <c r="O22"/>
  <c r="X22" s="1"/>
  <c r="E19"/>
  <c r="N18"/>
  <c r="N19"/>
  <c r="E7"/>
  <c r="N22"/>
  <c r="O7"/>
  <c r="X7" s="1"/>
  <c r="N11"/>
  <c r="O17"/>
  <c r="X17" s="1"/>
  <c r="H14"/>
  <c r="N13"/>
  <c r="O13"/>
  <c r="X13" s="1"/>
  <c r="O11"/>
  <c r="X11" s="1"/>
  <c r="O9"/>
  <c r="O18"/>
  <c r="X18" s="1"/>
  <c r="H23"/>
  <c r="I23"/>
  <c r="Y21"/>
  <c r="Y9" l="1"/>
  <c r="X9"/>
  <c r="Y7"/>
  <c r="O14"/>
  <c r="Y13"/>
  <c r="Y11"/>
  <c r="O23"/>
  <c r="N14"/>
  <c r="Y18"/>
  <c r="Y19"/>
  <c r="Y22"/>
  <c r="Y17"/>
  <c r="Y25"/>
  <c r="N23"/>
  <c r="X23" l="1"/>
  <c r="Y23"/>
  <c r="X14"/>
  <c r="Y14" l="1"/>
  <c r="C34" l="1"/>
  <c r="G37" l="1"/>
  <c r="G36"/>
  <c r="G35"/>
  <c r="G33"/>
  <c r="G32"/>
  <c r="G31"/>
  <c r="G30"/>
  <c r="G28"/>
  <c r="H35" l="1"/>
  <c r="E35" s="1"/>
  <c r="H33"/>
  <c r="N33" s="1"/>
  <c r="H32"/>
  <c r="E32" s="1"/>
  <c r="H31"/>
  <c r="E31" s="1"/>
  <c r="H30"/>
  <c r="E30" s="1"/>
  <c r="H28"/>
  <c r="E28" s="1"/>
  <c r="H37"/>
  <c r="E37" s="1"/>
  <c r="H36"/>
  <c r="G50"/>
  <c r="N32" l="1"/>
  <c r="N31"/>
  <c r="N30"/>
  <c r="E33"/>
  <c r="E36"/>
  <c r="O36"/>
  <c r="X36" s="1"/>
  <c r="N37"/>
  <c r="O33"/>
  <c r="X33" s="1"/>
  <c r="O28"/>
  <c r="O31"/>
  <c r="X31" s="1"/>
  <c r="O37"/>
  <c r="X37" s="1"/>
  <c r="H50"/>
  <c r="O32"/>
  <c r="O30"/>
  <c r="X30" s="1"/>
  <c r="O35"/>
  <c r="X35" s="1"/>
  <c r="N35"/>
  <c r="N28"/>
  <c r="N36"/>
  <c r="X32" l="1"/>
  <c r="O50"/>
  <c r="O52" s="1"/>
  <c r="E52"/>
  <c r="O34"/>
  <c r="N50"/>
  <c r="Y33"/>
  <c r="Y31"/>
  <c r="X50" l="1"/>
  <c r="M50" l="1"/>
  <c r="L50"/>
  <c r="F50"/>
  <c r="L34"/>
  <c r="K34"/>
  <c r="J34"/>
  <c r="F34"/>
  <c r="L52" l="1"/>
  <c r="K52"/>
  <c r="J52"/>
  <c r="C52"/>
  <c r="M34" l="1"/>
  <c r="M52" s="1"/>
  <c r="I34"/>
  <c r="I52" l="1"/>
  <c r="V34" l="1"/>
  <c r="S34"/>
  <c r="R34"/>
  <c r="Q34"/>
  <c r="D52"/>
  <c r="G46" l="1"/>
  <c r="Y37" l="1"/>
  <c r="H46"/>
  <c r="N46" s="1"/>
  <c r="Y32" l="1"/>
  <c r="Y30" l="1"/>
  <c r="Y35"/>
  <c r="Y36"/>
  <c r="Y50" l="1"/>
  <c r="X29" l="1"/>
  <c r="V52" l="1"/>
  <c r="R52"/>
  <c r="Q52"/>
  <c r="S52"/>
  <c r="A30" l="1"/>
  <c r="U28"/>
  <c r="X28" s="1"/>
  <c r="U34" l="1"/>
  <c r="X34" l="1"/>
  <c r="X52" s="1"/>
  <c r="Y28"/>
  <c r="Y34" l="1"/>
  <c r="Y52" s="1"/>
  <c r="A31"/>
  <c r="A32" s="1"/>
  <c r="A33" s="1"/>
  <c r="F52" l="1"/>
  <c r="U52" l="1"/>
  <c r="G34" l="1"/>
  <c r="H34" l="1"/>
  <c r="H52" s="1"/>
  <c r="G52"/>
  <c r="F53" l="1"/>
  <c r="N34"/>
  <c r="N52" s="1"/>
  <c r="L53" l="1"/>
  <c r="G55" l="1"/>
  <c r="I55" l="1"/>
  <c r="H55"/>
  <c r="O55" s="1"/>
  <c r="X55" s="1"/>
  <c r="N55" l="1"/>
  <c r="Y55" l="1"/>
</calcChain>
</file>

<file path=xl/comments1.xml><?xml version="1.0" encoding="utf-8"?>
<comments xmlns="http://schemas.openxmlformats.org/spreadsheetml/2006/main">
  <authors>
    <author>Author</author>
  </authors>
  <commentList>
    <comment ref="M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1000/-  handicap allowance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BASIC 24200  LEVEL 2</t>
        </r>
      </text>
    </comment>
    <comment ref="M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1000/-  handicap allowance</t>
        </r>
      </text>
    </comment>
    <comment ref="U3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 3 MONTHS  NOV22 TO JAN 23</t>
        </r>
      </text>
    </comment>
  </commentList>
</comments>
</file>

<file path=xl/sharedStrings.xml><?xml version="1.0" encoding="utf-8"?>
<sst xmlns="http://schemas.openxmlformats.org/spreadsheetml/2006/main" count="57" uniqueCount="55">
  <si>
    <t>Total</t>
  </si>
  <si>
    <t>Vishal kalia</t>
  </si>
  <si>
    <t>Seema Yadav</t>
  </si>
  <si>
    <t>Rajesh sharma</t>
  </si>
  <si>
    <t/>
  </si>
  <si>
    <t>TF</t>
  </si>
  <si>
    <t>Sr. No.</t>
  </si>
  <si>
    <t>Name</t>
  </si>
  <si>
    <t>I. TAX</t>
  </si>
  <si>
    <t>GIS</t>
  </si>
  <si>
    <t>Net Payable</t>
  </si>
  <si>
    <t>Munish Julka</t>
  </si>
  <si>
    <t>GROSS FIG.</t>
  </si>
  <si>
    <t>Ded</t>
  </si>
  <si>
    <t>J.P KANT</t>
  </si>
  <si>
    <t>PB</t>
  </si>
  <si>
    <t>SPL ALL /CNVY</t>
  </si>
  <si>
    <t>SIGN</t>
  </si>
  <si>
    <t>Conv. Adv</t>
  </si>
  <si>
    <t>Shashi Bhoria Bhatia</t>
  </si>
  <si>
    <t>Rajan   Incr</t>
  </si>
  <si>
    <t>Devinder Singh</t>
  </si>
  <si>
    <t>PANKAJ KAUNDAL</t>
  </si>
  <si>
    <t>VIVEK NAROTRA</t>
  </si>
  <si>
    <t xml:space="preserve">MR TARUN </t>
  </si>
  <si>
    <t>RAMKIRAN</t>
  </si>
  <si>
    <t>ANAND MALIK</t>
  </si>
  <si>
    <t xml:space="preserve">Achal Bisht  </t>
  </si>
  <si>
    <t>CPF 12%</t>
  </si>
  <si>
    <t>Suresh Chand (CONTRACTUAL)</t>
  </si>
  <si>
    <t>other
  AllWNC</t>
  </si>
  <si>
    <t xml:space="preserve">ASHOK KUMAR RAY </t>
  </si>
  <si>
    <t xml:space="preserve">POST OF S. KEEPER (1) SCALE </t>
  </si>
  <si>
    <t xml:space="preserve">POST OF  A O (1) </t>
  </si>
  <si>
    <t>SOUMYAJIT BANDYOPADHYAY</t>
  </si>
  <si>
    <t xml:space="preserve">POST OF TEACHING ASSOCIATES </t>
  </si>
  <si>
    <t xml:space="preserve">POST OF SR LECTURER CUM SR INSTRUCTOR (S) 3   &amp; 1 Sr Asstt Accounts   And 1 Contract employee </t>
  </si>
  <si>
    <t>TRVL 
ALL</t>
  </si>
  <si>
    <t>LVL</t>
  </si>
  <si>
    <t>BASIC</t>
  </si>
  <si>
    <t>LIC FEE</t>
  </si>
  <si>
    <t>BP+DA 
TOTAL</t>
  </si>
  <si>
    <t>OTHER/ PENSION</t>
  </si>
  <si>
    <t>HRA 20</t>
  </si>
  <si>
    <t>POST OF  (1)  PRINCIPAL  LEVEL 13  RS  123100/ to 215900 ONWARDS</t>
  </si>
  <si>
    <t xml:space="preserve">Ms Chanmeet Kaur </t>
  </si>
  <si>
    <t>POST OF HOD (2) / SR INSTRUCTOR 3 NO</t>
  </si>
  <si>
    <t>POST OF ASTT. LECTURER CUM ASTT INSTRUCTOR (S) 6  BASIC 38500 &amp; 44900 &amp; 1 LECT</t>
  </si>
  <si>
    <r>
      <t>DA</t>
    </r>
    <r>
      <rPr>
        <b/>
        <u/>
        <sz val="16"/>
        <rFont val="Calibri"/>
        <family val="2"/>
        <scheme val="minor"/>
      </rPr>
      <t xml:space="preserve"> 58</t>
    </r>
  </si>
  <si>
    <t>POST OF CLERK : 2 LDC</t>
  </si>
  <si>
    <t>NAVKIRAT</t>
  </si>
  <si>
    <t xml:space="preserve"> VINAY KUMAR</t>
  </si>
  <si>
    <t>SH PRANAV BHATT  , Lect.</t>
  </si>
  <si>
    <r>
      <t>Med /</t>
    </r>
    <r>
      <rPr>
        <b/>
        <sz val="10"/>
        <rFont val="Calibri"/>
        <family val="2"/>
        <scheme val="minor"/>
      </rPr>
      <t>GI</t>
    </r>
  </si>
  <si>
    <t>Salary Bill For the month of APR 2026</t>
  </si>
</sst>
</file>

<file path=xl/styles.xml><?xml version="1.0" encoding="utf-8"?>
<styleSheet xmlns="http://schemas.openxmlformats.org/spreadsheetml/2006/main">
  <numFmts count="1">
    <numFmt numFmtId="164" formatCode="0;[Red]0"/>
  </numFmts>
  <fonts count="30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</font>
    <font>
      <sz val="10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i/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u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9" fillId="15" borderId="0" applyNumberFormat="0" applyBorder="0" applyAlignment="0" applyProtection="0"/>
  </cellStyleXfs>
  <cellXfs count="241">
    <xf numFmtId="0" fontId="0" fillId="0" borderId="0" xfId="0"/>
    <xf numFmtId="164" fontId="6" fillId="0" borderId="1" xfId="0" applyNumberFormat="1" applyFont="1" applyFill="1" applyBorder="1" applyAlignment="1">
      <alignment vertical="center"/>
    </xf>
    <xf numFmtId="164" fontId="7" fillId="0" borderId="6" xfId="0" applyNumberFormat="1" applyFont="1" applyFill="1" applyBorder="1" applyAlignment="1">
      <alignment vertical="top"/>
    </xf>
    <xf numFmtId="164" fontId="7" fillId="0" borderId="9" xfId="0" applyNumberFormat="1" applyFont="1" applyFill="1" applyBorder="1"/>
    <xf numFmtId="164" fontId="6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Fill="1"/>
    <xf numFmtId="164" fontId="6" fillId="0" borderId="0" xfId="0" quotePrefix="1" applyNumberFormat="1" applyFont="1"/>
    <xf numFmtId="164" fontId="6" fillId="0" borderId="0" xfId="0" applyNumberFormat="1" applyFont="1"/>
    <xf numFmtId="164" fontId="6" fillId="3" borderId="0" xfId="0" applyNumberFormat="1" applyFont="1" applyFill="1"/>
    <xf numFmtId="164" fontId="6" fillId="4" borderId="0" xfId="0" applyNumberFormat="1" applyFont="1" applyFill="1"/>
    <xf numFmtId="164" fontId="6" fillId="0" borderId="0" xfId="0" applyNumberFormat="1" applyFont="1" applyFill="1" applyBorder="1"/>
    <xf numFmtId="164" fontId="7" fillId="2" borderId="20" xfId="0" applyNumberFormat="1" applyFont="1" applyFill="1" applyBorder="1" applyAlignment="1">
      <alignment horizontal="center" vertical="top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4" borderId="15" xfId="0" applyNumberFormat="1" applyFont="1" applyFill="1" applyBorder="1" applyAlignment="1">
      <alignment horizontal="center" vertical="justify"/>
    </xf>
    <xf numFmtId="164" fontId="7" fillId="2" borderId="14" xfId="0" applyNumberFormat="1" applyFont="1" applyFill="1" applyBorder="1" applyAlignment="1">
      <alignment horizontal="center" vertical="justify"/>
    </xf>
    <xf numFmtId="164" fontId="7" fillId="2" borderId="15" xfId="0" applyNumberFormat="1" applyFont="1" applyFill="1" applyBorder="1" applyAlignment="1">
      <alignment horizontal="center" vertical="justify"/>
    </xf>
    <xf numFmtId="164" fontId="7" fillId="2" borderId="16" xfId="0" applyNumberFormat="1" applyFont="1" applyFill="1" applyBorder="1" applyAlignment="1">
      <alignment horizontal="center" vertical="justify"/>
    </xf>
    <xf numFmtId="164" fontId="6" fillId="2" borderId="0" xfId="0" applyNumberFormat="1" applyFont="1" applyFill="1"/>
    <xf numFmtId="164" fontId="7" fillId="0" borderId="0" xfId="0" applyNumberFormat="1" applyFont="1" applyFill="1" applyBorder="1" applyAlignment="1">
      <alignment horizontal="center" vertical="justify"/>
    </xf>
    <xf numFmtId="0" fontId="6" fillId="0" borderId="0" xfId="0" applyFont="1" applyFill="1" applyBorder="1"/>
    <xf numFmtId="164" fontId="7" fillId="0" borderId="0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vertical="center" wrapText="1" shrinkToFit="1"/>
    </xf>
    <xf numFmtId="164" fontId="6" fillId="4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7" fillId="0" borderId="5" xfId="0" applyNumberFormat="1" applyFont="1" applyFill="1" applyBorder="1" applyAlignment="1">
      <alignment vertical="top"/>
    </xf>
    <xf numFmtId="164" fontId="6" fillId="0" borderId="9" xfId="0" applyNumberFormat="1" applyFont="1" applyFill="1" applyBorder="1"/>
    <xf numFmtId="164" fontId="6" fillId="0" borderId="9" xfId="0" applyNumberFormat="1" applyFont="1" applyFill="1" applyBorder="1" applyAlignment="1">
      <alignment vertical="center"/>
    </xf>
    <xf numFmtId="164" fontId="6" fillId="4" borderId="9" xfId="0" applyNumberFormat="1" applyFont="1" applyFill="1" applyBorder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164" fontId="6" fillId="0" borderId="1" xfId="0" applyNumberFormat="1" applyFont="1" applyFill="1" applyBorder="1"/>
    <xf numFmtId="164" fontId="6" fillId="0" borderId="5" xfId="0" applyNumberFormat="1" applyFont="1" applyFill="1" applyBorder="1" applyAlignment="1">
      <alignment vertical="center"/>
    </xf>
    <xf numFmtId="164" fontId="6" fillId="4" borderId="1" xfId="0" applyNumberFormat="1" applyFont="1" applyFill="1" applyBorder="1"/>
    <xf numFmtId="164" fontId="7" fillId="0" borderId="10" xfId="0" applyNumberFormat="1" applyFont="1" applyFill="1" applyBorder="1" applyAlignment="1">
      <alignment horizontal="center"/>
    </xf>
    <xf numFmtId="164" fontId="7" fillId="0" borderId="10" xfId="1" applyNumberFormat="1" applyFont="1" applyFill="1" applyBorder="1"/>
    <xf numFmtId="164" fontId="7" fillId="0" borderId="10" xfId="0" applyNumberFormat="1" applyFont="1" applyFill="1" applyBorder="1"/>
    <xf numFmtId="164" fontId="7" fillId="0" borderId="0" xfId="0" applyNumberFormat="1" applyFont="1" applyFill="1" applyBorder="1"/>
    <xf numFmtId="164" fontId="7" fillId="2" borderId="0" xfId="0" applyNumberFormat="1" applyFont="1" applyFill="1"/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vertical="top"/>
    </xf>
    <xf numFmtId="164" fontId="7" fillId="4" borderId="9" xfId="0" applyNumberFormat="1" applyFont="1" applyFill="1" applyBorder="1"/>
    <xf numFmtId="164" fontId="7" fillId="0" borderId="9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justify"/>
    </xf>
    <xf numFmtId="164" fontId="6" fillId="0" borderId="1" xfId="0" applyNumberFormat="1" applyFont="1" applyFill="1" applyBorder="1" applyAlignment="1">
      <alignment vertical="top"/>
    </xf>
    <xf numFmtId="164" fontId="7" fillId="0" borderId="1" xfId="1" applyNumberFormat="1" applyFont="1" applyFill="1" applyBorder="1"/>
    <xf numFmtId="164" fontId="7" fillId="0" borderId="1" xfId="0" applyNumberFormat="1" applyFont="1" applyFill="1" applyBorder="1"/>
    <xf numFmtId="164" fontId="7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vertical="top"/>
    </xf>
    <xf numFmtId="164" fontId="7" fillId="0" borderId="18" xfId="0" applyNumberFormat="1" applyFont="1" applyFill="1" applyBorder="1"/>
    <xf numFmtId="164" fontId="7" fillId="4" borderId="18" xfId="0" applyNumberFormat="1" applyFont="1" applyFill="1" applyBorder="1"/>
    <xf numFmtId="164" fontId="7" fillId="0" borderId="4" xfId="0" applyNumberFormat="1" applyFont="1" applyFill="1" applyBorder="1"/>
    <xf numFmtId="164" fontId="7" fillId="0" borderId="4" xfId="0" applyNumberFormat="1" applyFont="1" applyFill="1" applyBorder="1" applyAlignment="1">
      <alignment vertical="center"/>
    </xf>
    <xf numFmtId="164" fontId="7" fillId="2" borderId="19" xfId="0" applyNumberFormat="1" applyFont="1" applyFill="1" applyBorder="1" applyAlignment="1">
      <alignment horizontal="center" vertical="justify"/>
    </xf>
    <xf numFmtId="164" fontId="7" fillId="0" borderId="1" xfId="0" applyNumberFormat="1" applyFont="1" applyFill="1" applyBorder="1" applyAlignment="1">
      <alignment vertical="center"/>
    </xf>
    <xf numFmtId="164" fontId="6" fillId="0" borderId="1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top" wrapText="1"/>
    </xf>
    <xf numFmtId="164" fontId="7" fillId="4" borderId="1" xfId="0" applyNumberFormat="1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164" fontId="6" fillId="0" borderId="0" xfId="0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vertical="center" wrapText="1" shrinkToFit="1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left" vertical="center"/>
    </xf>
    <xf numFmtId="164" fontId="6" fillId="0" borderId="10" xfId="0" applyNumberFormat="1" applyFont="1" applyFill="1" applyBorder="1" applyAlignment="1">
      <alignment vertical="center" wrapText="1"/>
    </xf>
    <xf numFmtId="164" fontId="8" fillId="0" borderId="10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/>
    <xf numFmtId="164" fontId="6" fillId="0" borderId="1" xfId="1" applyNumberFormat="1" applyFont="1" applyFill="1" applyBorder="1" applyAlignment="1">
      <alignment vertical="center" wrapText="1" shrinkToFit="1"/>
    </xf>
    <xf numFmtId="164" fontId="6" fillId="0" borderId="1" xfId="0" applyNumberFormat="1" applyFont="1" applyBorder="1" applyAlignment="1">
      <alignment vertical="center"/>
    </xf>
    <xf numFmtId="164" fontId="6" fillId="0" borderId="0" xfId="1" applyNumberFormat="1" applyFont="1" applyFill="1" applyBorder="1"/>
    <xf numFmtId="164" fontId="6" fillId="7" borderId="0" xfId="0" applyNumberFormat="1" applyFont="1" applyFill="1"/>
    <xf numFmtId="164" fontId="7" fillId="7" borderId="12" xfId="0" applyNumberFormat="1" applyFont="1" applyFill="1" applyBorder="1" applyAlignment="1">
      <alignment horizontal="center" vertical="top" wrapText="1"/>
    </xf>
    <xf numFmtId="164" fontId="6" fillId="7" borderId="1" xfId="0" applyNumberFormat="1" applyFont="1" applyFill="1" applyBorder="1" applyAlignment="1">
      <alignment vertical="center"/>
    </xf>
    <xf numFmtId="164" fontId="7" fillId="7" borderId="6" xfId="0" applyNumberFormat="1" applyFont="1" applyFill="1" applyBorder="1" applyAlignment="1">
      <alignment vertical="top"/>
    </xf>
    <xf numFmtId="164" fontId="7" fillId="7" borderId="9" xfId="0" applyNumberFormat="1" applyFont="1" applyFill="1" applyBorder="1"/>
    <xf numFmtId="164" fontId="7" fillId="7" borderId="1" xfId="0" applyNumberFormat="1" applyFont="1" applyFill="1" applyBorder="1" applyAlignment="1">
      <alignment vertical="top"/>
    </xf>
    <xf numFmtId="164" fontId="7" fillId="7" borderId="9" xfId="0" applyNumberFormat="1" applyFont="1" applyFill="1" applyBorder="1" applyAlignment="1">
      <alignment vertical="top"/>
    </xf>
    <xf numFmtId="164" fontId="6" fillId="7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vertical="center" wrapText="1" shrinkToFit="1"/>
    </xf>
    <xf numFmtId="1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0" xfId="1" applyNumberFormat="1" applyFont="1" applyFill="1" applyBorder="1" applyAlignment="1">
      <alignment vertical="center" wrapText="1" shrinkToFit="1"/>
    </xf>
    <xf numFmtId="164" fontId="6" fillId="0" borderId="1" xfId="0" applyNumberFormat="1" applyFont="1" applyFill="1" applyBorder="1" applyAlignment="1">
      <alignment horizontal="center"/>
    </xf>
    <xf numFmtId="164" fontId="8" fillId="0" borderId="0" xfId="0" applyNumberFormat="1" applyFont="1" applyFill="1" applyBorder="1"/>
    <xf numFmtId="164" fontId="8" fillId="0" borderId="0" xfId="0" applyNumberFormat="1" applyFont="1" applyFill="1"/>
    <xf numFmtId="164" fontId="10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7" fillId="5" borderId="14" xfId="0" applyNumberFormat="1" applyFont="1" applyFill="1" applyBorder="1" applyAlignment="1">
      <alignment horizontal="center" vertical="top" wrapText="1"/>
    </xf>
    <xf numFmtId="164" fontId="7" fillId="0" borderId="1" xfId="1" applyNumberFormat="1" applyFont="1" applyFill="1" applyBorder="1" applyAlignment="1">
      <alignment vertical="center" wrapText="1" shrinkToFit="1"/>
    </xf>
    <xf numFmtId="164" fontId="7" fillId="0" borderId="0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vertical="center"/>
    </xf>
    <xf numFmtId="164" fontId="6" fillId="4" borderId="10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/>
    </xf>
    <xf numFmtId="164" fontId="11" fillId="0" borderId="10" xfId="0" applyNumberFormat="1" applyFont="1" applyFill="1" applyBorder="1" applyAlignment="1">
      <alignment vertical="center"/>
    </xf>
    <xf numFmtId="164" fontId="11" fillId="7" borderId="10" xfId="0" applyNumberFormat="1" applyFont="1" applyFill="1" applyBorder="1" applyAlignment="1">
      <alignment vertical="center"/>
    </xf>
    <xf numFmtId="164" fontId="11" fillId="4" borderId="10" xfId="0" applyNumberFormat="1" applyFont="1" applyFill="1" applyBorder="1" applyAlignment="1">
      <alignment vertical="center"/>
    </xf>
    <xf numFmtId="164" fontId="12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center" vertical="top"/>
    </xf>
    <xf numFmtId="164" fontId="14" fillId="0" borderId="10" xfId="1" applyNumberFormat="1" applyFont="1" applyFill="1" applyBorder="1"/>
    <xf numFmtId="164" fontId="6" fillId="6" borderId="1" xfId="1" applyNumberFormat="1" applyFont="1" applyFill="1" applyBorder="1" applyAlignment="1">
      <alignment vertical="center" wrapText="1" shrinkToFit="1"/>
    </xf>
    <xf numFmtId="164" fontId="8" fillId="0" borderId="1" xfId="0" applyNumberFormat="1" applyFont="1" applyFill="1" applyBorder="1" applyAlignment="1">
      <alignment horizontal="center"/>
    </xf>
    <xf numFmtId="164" fontId="6" fillId="9" borderId="0" xfId="0" applyNumberFormat="1" applyFont="1" applyFill="1"/>
    <xf numFmtId="164" fontId="6" fillId="9" borderId="1" xfId="0" applyNumberFormat="1" applyFont="1" applyFill="1" applyBorder="1" applyAlignment="1">
      <alignment vertical="center"/>
    </xf>
    <xf numFmtId="164" fontId="6" fillId="9" borderId="1" xfId="0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vertical="center" wrapText="1" shrinkToFit="1"/>
    </xf>
    <xf numFmtId="164" fontId="6" fillId="9" borderId="0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vertical="top"/>
    </xf>
    <xf numFmtId="164" fontId="6" fillId="0" borderId="9" xfId="0" applyNumberFormat="1" applyFont="1" applyFill="1" applyBorder="1" applyAlignment="1">
      <alignment vertical="top"/>
    </xf>
    <xf numFmtId="164" fontId="6" fillId="0" borderId="1" xfId="0" applyNumberFormat="1" applyFont="1" applyFill="1" applyBorder="1" applyAlignment="1">
      <alignment horizontal="center"/>
    </xf>
    <xf numFmtId="164" fontId="6" fillId="0" borderId="0" xfId="0" quotePrefix="1" applyNumberFormat="1" applyFont="1" applyFill="1"/>
    <xf numFmtId="164" fontId="7" fillId="8" borderId="11" xfId="0" applyNumberFormat="1" applyFont="1" applyFill="1" applyBorder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top" wrapText="1"/>
    </xf>
    <xf numFmtId="164" fontId="15" fillId="0" borderId="1" xfId="0" applyNumberFormat="1" applyFont="1" applyFill="1" applyBorder="1" applyAlignment="1">
      <alignment vertical="center"/>
    </xf>
    <xf numFmtId="164" fontId="7" fillId="0" borderId="6" xfId="0" applyNumberFormat="1" applyFont="1" applyFill="1" applyBorder="1" applyAlignment="1">
      <alignment horizontal="center" vertical="top"/>
    </xf>
    <xf numFmtId="164" fontId="6" fillId="0" borderId="1" xfId="0" quotePrefix="1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1" xfId="0" quotePrefix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top"/>
    </xf>
    <xf numFmtId="164" fontId="7" fillId="0" borderId="9" xfId="0" applyNumberFormat="1" applyFont="1" applyFill="1" applyBorder="1" applyAlignment="1">
      <alignment horizontal="center" vertical="top"/>
    </xf>
    <xf numFmtId="1" fontId="6" fillId="0" borderId="1" xfId="0" quotePrefix="1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/>
    <xf numFmtId="164" fontId="6" fillId="0" borderId="3" xfId="0" applyNumberFormat="1" applyFont="1" applyFill="1" applyBorder="1"/>
    <xf numFmtId="164" fontId="8" fillId="0" borderId="10" xfId="1" applyNumberFormat="1" applyFont="1" applyFill="1" applyBorder="1"/>
    <xf numFmtId="164" fontId="16" fillId="0" borderId="10" xfId="1" applyNumberFormat="1" applyFont="1" applyFill="1" applyBorder="1"/>
    <xf numFmtId="164" fontId="17" fillId="5" borderId="14" xfId="0" applyNumberFormat="1" applyFont="1" applyFill="1" applyBorder="1" applyAlignment="1">
      <alignment horizontal="center" vertical="top" wrapText="1"/>
    </xf>
    <xf numFmtId="164" fontId="9" fillId="2" borderId="10" xfId="0" applyNumberFormat="1" applyFont="1" applyFill="1" applyBorder="1" applyAlignment="1">
      <alignment horizontal="center" vertical="top"/>
    </xf>
    <xf numFmtId="0" fontId="6" fillId="0" borderId="0" xfId="0" applyFont="1" applyFill="1"/>
    <xf numFmtId="164" fontId="6" fillId="0" borderId="1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vertical="center"/>
    </xf>
    <xf numFmtId="164" fontId="6" fillId="11" borderId="0" xfId="0" applyNumberFormat="1" applyFont="1" applyFill="1"/>
    <xf numFmtId="0" fontId="10" fillId="11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/>
    </xf>
    <xf numFmtId="164" fontId="18" fillId="0" borderId="0" xfId="0" applyNumberFormat="1" applyFont="1" applyFill="1" applyBorder="1"/>
    <xf numFmtId="0" fontId="18" fillId="0" borderId="0" xfId="0" applyFont="1" applyFill="1" applyBorder="1"/>
    <xf numFmtId="164" fontId="19" fillId="0" borderId="0" xfId="0" applyNumberFormat="1" applyFont="1" applyFill="1" applyBorder="1" applyAlignment="1">
      <alignment horizontal="center" vertical="top"/>
    </xf>
    <xf numFmtId="164" fontId="18" fillId="0" borderId="0" xfId="1" applyNumberFormat="1" applyFont="1" applyFill="1" applyBorder="1"/>
    <xf numFmtId="0" fontId="6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21" fillId="11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64" fontId="20" fillId="11" borderId="1" xfId="0" applyNumberFormat="1" applyFont="1" applyFill="1" applyBorder="1"/>
    <xf numFmtId="0" fontId="22" fillId="11" borderId="10" xfId="0" applyFont="1" applyFill="1" applyBorder="1" applyAlignment="1">
      <alignment vertical="center"/>
    </xf>
    <xf numFmtId="164" fontId="6" fillId="0" borderId="10" xfId="1" applyNumberFormat="1" applyFont="1" applyFill="1" applyBorder="1"/>
    <xf numFmtId="164" fontId="6" fillId="12" borderId="1" xfId="0" applyNumberFormat="1" applyFont="1" applyFill="1" applyBorder="1" applyAlignment="1">
      <alignment vertical="center"/>
    </xf>
    <xf numFmtId="164" fontId="7" fillId="0" borderId="2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center"/>
    </xf>
    <xf numFmtId="164" fontId="6" fillId="13" borderId="1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164" fontId="12" fillId="0" borderId="0" xfId="0" quotePrefix="1" applyNumberFormat="1" applyFont="1" applyFill="1" applyBorder="1" applyAlignment="1">
      <alignment horizontal="center" vertical="center"/>
    </xf>
    <xf numFmtId="164" fontId="6" fillId="0" borderId="0" xfId="0" quotePrefix="1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64" fontId="6" fillId="0" borderId="14" xfId="0" applyNumberFormat="1" applyFont="1" applyFill="1" applyBorder="1" applyAlignment="1">
      <alignment horizontal="center" vertical="top"/>
    </xf>
    <xf numFmtId="164" fontId="7" fillId="13" borderId="13" xfId="0" applyNumberFormat="1" applyFont="1" applyFill="1" applyBorder="1" applyAlignment="1">
      <alignment horizontal="center" vertical="top"/>
    </xf>
    <xf numFmtId="164" fontId="6" fillId="13" borderId="9" xfId="0" applyNumberFormat="1" applyFont="1" applyFill="1" applyBorder="1" applyAlignment="1">
      <alignment vertical="center"/>
    </xf>
    <xf numFmtId="164" fontId="7" fillId="13" borderId="9" xfId="0" applyNumberFormat="1" applyFont="1" applyFill="1" applyBorder="1" applyAlignment="1">
      <alignment vertical="center"/>
    </xf>
    <xf numFmtId="164" fontId="7" fillId="13" borderId="18" xfId="0" applyNumberFormat="1" applyFont="1" applyFill="1" applyBorder="1" applyAlignment="1">
      <alignment vertical="center"/>
    </xf>
    <xf numFmtId="164" fontId="7" fillId="13" borderId="1" xfId="0" applyNumberFormat="1" applyFont="1" applyFill="1" applyBorder="1" applyAlignment="1">
      <alignment vertical="center"/>
    </xf>
    <xf numFmtId="164" fontId="11" fillId="13" borderId="10" xfId="0" applyNumberFormat="1" applyFont="1" applyFill="1" applyBorder="1" applyAlignment="1">
      <alignment vertical="center"/>
    </xf>
    <xf numFmtId="164" fontId="6" fillId="13" borderId="1" xfId="0" applyNumberFormat="1" applyFont="1" applyFill="1" applyBorder="1"/>
    <xf numFmtId="164" fontId="7" fillId="0" borderId="22" xfId="0" applyNumberFormat="1" applyFont="1" applyFill="1" applyBorder="1" applyAlignment="1">
      <alignment vertical="center" wrapText="1"/>
    </xf>
    <xf numFmtId="164" fontId="7" fillId="0" borderId="22" xfId="0" applyNumberFormat="1" applyFont="1" applyFill="1" applyBorder="1" applyAlignment="1">
      <alignment horizontal="center" vertical="center" wrapText="1"/>
    </xf>
    <xf numFmtId="164" fontId="7" fillId="13" borderId="22" xfId="0" applyNumberFormat="1" applyFont="1" applyFill="1" applyBorder="1" applyAlignment="1">
      <alignment vertical="center" wrapText="1"/>
    </xf>
    <xf numFmtId="164" fontId="7" fillId="3" borderId="22" xfId="0" applyNumberFormat="1" applyFont="1" applyFill="1" applyBorder="1" applyAlignment="1">
      <alignment vertical="center" wrapText="1"/>
    </xf>
    <xf numFmtId="164" fontId="7" fillId="10" borderId="22" xfId="0" applyNumberFormat="1" applyFont="1" applyFill="1" applyBorder="1" applyAlignment="1">
      <alignment vertical="center" wrapText="1"/>
    </xf>
    <xf numFmtId="164" fontId="6" fillId="0" borderId="10" xfId="0" quotePrefix="1" applyNumberFormat="1" applyFont="1" applyFill="1" applyBorder="1" applyAlignment="1">
      <alignment horizontal="center" vertical="center"/>
    </xf>
    <xf numFmtId="164" fontId="6" fillId="12" borderId="10" xfId="0" applyNumberFormat="1" applyFont="1" applyFill="1" applyBorder="1" applyAlignment="1">
      <alignment vertical="center"/>
    </xf>
    <xf numFmtId="164" fontId="6" fillId="13" borderId="10" xfId="0" applyNumberFormat="1" applyFont="1" applyFill="1" applyBorder="1" applyAlignment="1">
      <alignment vertical="center"/>
    </xf>
    <xf numFmtId="164" fontId="7" fillId="5" borderId="22" xfId="0" applyNumberFormat="1" applyFont="1" applyFill="1" applyBorder="1" applyAlignment="1">
      <alignment vertical="center" wrapText="1"/>
    </xf>
    <xf numFmtId="164" fontId="6" fillId="0" borderId="9" xfId="0" quotePrefix="1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164" fontId="7" fillId="12" borderId="22" xfId="0" applyNumberFormat="1" applyFont="1" applyFill="1" applyBorder="1" applyAlignment="1">
      <alignment vertical="center" wrapText="1"/>
    </xf>
    <xf numFmtId="164" fontId="7" fillId="0" borderId="22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/>
    <xf numFmtId="164" fontId="7" fillId="2" borderId="7" xfId="0" applyNumberFormat="1" applyFont="1" applyFill="1" applyBorder="1" applyAlignment="1">
      <alignment horizontal="center" vertical="justify"/>
    </xf>
    <xf numFmtId="164" fontId="7" fillId="0" borderId="18" xfId="0" applyNumberFormat="1" applyFont="1" applyFill="1" applyBorder="1" applyAlignment="1">
      <alignment horizontal="center"/>
    </xf>
    <xf numFmtId="164" fontId="7" fillId="7" borderId="18" xfId="0" applyNumberFormat="1" applyFont="1" applyFill="1" applyBorder="1"/>
    <xf numFmtId="164" fontId="6" fillId="0" borderId="18" xfId="0" applyNumberFormat="1" applyFont="1" applyFill="1" applyBorder="1"/>
    <xf numFmtId="164" fontId="7" fillId="13" borderId="18" xfId="0" applyNumberFormat="1" applyFont="1" applyFill="1" applyBorder="1"/>
    <xf numFmtId="164" fontId="7" fillId="11" borderId="18" xfId="0" applyNumberFormat="1" applyFont="1" applyFill="1" applyBorder="1"/>
    <xf numFmtId="164" fontId="7" fillId="0" borderId="18" xfId="0" applyNumberFormat="1" applyFont="1" applyFill="1" applyBorder="1" applyAlignment="1">
      <alignment vertical="center"/>
    </xf>
    <xf numFmtId="164" fontId="6" fillId="0" borderId="9" xfId="0" applyNumberFormat="1" applyFont="1" applyBorder="1" applyAlignment="1">
      <alignment horizontal="center"/>
    </xf>
    <xf numFmtId="164" fontId="6" fillId="0" borderId="9" xfId="0" applyNumberFormat="1" applyFont="1" applyBorder="1"/>
    <xf numFmtId="164" fontId="6" fillId="13" borderId="9" xfId="0" applyNumberFormat="1" applyFont="1" applyFill="1" applyBorder="1"/>
    <xf numFmtId="164" fontId="6" fillId="4" borderId="9" xfId="0" applyNumberFormat="1" applyFont="1" applyFill="1" applyBorder="1"/>
    <xf numFmtId="164" fontId="7" fillId="0" borderId="21" xfId="0" applyNumberFormat="1" applyFont="1" applyFill="1" applyBorder="1" applyAlignment="1">
      <alignment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vertical="center" wrapText="1"/>
    </xf>
    <xf numFmtId="164" fontId="7" fillId="13" borderId="14" xfId="0" applyNumberFormat="1" applyFont="1" applyFill="1" applyBorder="1" applyAlignment="1">
      <alignment vertical="center" wrapText="1"/>
    </xf>
    <xf numFmtId="164" fontId="7" fillId="0" borderId="23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5" fillId="1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24" xfId="0" applyNumberFormat="1" applyFont="1" applyFill="1" applyBorder="1" applyAlignment="1">
      <alignment vertical="center" wrapText="1"/>
    </xf>
    <xf numFmtId="164" fontId="7" fillId="11" borderId="21" xfId="0" applyNumberFormat="1" applyFont="1" applyFill="1" applyBorder="1" applyAlignment="1">
      <alignment vertical="center" wrapText="1"/>
    </xf>
    <xf numFmtId="164" fontId="6" fillId="6" borderId="12" xfId="0" applyNumberFormat="1" applyFont="1" applyFill="1" applyBorder="1" applyAlignment="1">
      <alignment horizontal="center" vertical="top"/>
    </xf>
    <xf numFmtId="0" fontId="6" fillId="0" borderId="0" xfId="1" applyFont="1" applyFill="1" applyBorder="1"/>
    <xf numFmtId="164" fontId="6" fillId="14" borderId="1" xfId="0" applyNumberFormat="1" applyFont="1" applyFill="1" applyBorder="1" applyAlignment="1">
      <alignment vertical="center"/>
    </xf>
    <xf numFmtId="1" fontId="25" fillId="0" borderId="1" xfId="0" applyNumberFormat="1" applyFont="1" applyFill="1" applyBorder="1" applyAlignment="1">
      <alignment vertical="center"/>
    </xf>
    <xf numFmtId="164" fontId="29" fillId="0" borderId="0" xfId="12" applyNumberFormat="1" applyFill="1" applyBorder="1"/>
    <xf numFmtId="15" fontId="0" fillId="0" borderId="0" xfId="0" applyNumberFormat="1" applyFill="1" applyBorder="1"/>
    <xf numFmtId="1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164" fontId="29" fillId="15" borderId="0" xfId="12" applyNumberFormat="1" applyBorder="1"/>
    <xf numFmtId="164" fontId="6" fillId="0" borderId="9" xfId="0" applyNumberFormat="1" applyFont="1" applyFill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0" xfId="0" applyNumberFormat="1" applyFont="1" applyFill="1" applyAlignment="1">
      <alignment horizontal="center" vertical="top"/>
    </xf>
  </cellXfs>
  <cellStyles count="13">
    <cellStyle name="Bad" xfId="12" builtinId="27"/>
    <cellStyle name="Normal" xfId="0" builtinId="0"/>
    <cellStyle name="Normal 2" xfId="2"/>
    <cellStyle name="Normal 3" xfId="3"/>
    <cellStyle name="Normal 3 2" xfId="6"/>
    <cellStyle name="Normal 4" xfId="4"/>
    <cellStyle name="Normal 5" xfId="5"/>
    <cellStyle name="Normal 5 2" xfId="7"/>
    <cellStyle name="Normal 6" xfId="8"/>
    <cellStyle name="Normal 7" xfId="10"/>
    <cellStyle name="Normal 8" xfId="11"/>
    <cellStyle name="Normal 9" xfId="9"/>
    <cellStyle name="Normal_Auto Tax Calculator 2007-08-09 Version 2 &amp;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T107"/>
  <sheetViews>
    <sheetView tabSelected="1" topLeftCell="A4" zoomScale="55" zoomScaleNormal="55" workbookViewId="0">
      <pane xSplit="2" ySplit="2" topLeftCell="C6" activePane="bottomRight" state="frozen"/>
      <selection activeCell="A4" sqref="A4"/>
      <selection pane="topRight" activeCell="C4" sqref="C4"/>
      <selection pane="bottomLeft" activeCell="A6" sqref="A6"/>
      <selection pane="bottomRight" activeCell="O8" sqref="O8"/>
    </sheetView>
  </sheetViews>
  <sheetFormatPr defaultColWidth="9" defaultRowHeight="18.75"/>
  <cols>
    <col min="1" max="1" width="6" style="6" customWidth="1"/>
    <col min="2" max="2" width="32.42578125" style="7" customWidth="1"/>
    <col min="3" max="3" width="15" style="7" customWidth="1"/>
    <col min="4" max="4" width="9.28515625" style="6" customWidth="1"/>
    <col min="5" max="5" width="14.42578125" style="6" customWidth="1"/>
    <col min="6" max="6" width="4" style="9" customWidth="1"/>
    <col min="7" max="7" width="14.5703125" style="83" customWidth="1"/>
    <col min="8" max="8" width="13.28515625" style="7" customWidth="1"/>
    <col min="9" max="10" width="12.7109375" style="9" customWidth="1"/>
    <col min="11" max="11" width="15.28515625" style="9" customWidth="1"/>
    <col min="12" max="12" width="8.85546875" style="9" hidden="1" customWidth="1"/>
    <col min="13" max="13" width="9.85546875" style="9" hidden="1" customWidth="1"/>
    <col min="14" max="14" width="16.140625" style="10" customWidth="1"/>
    <col min="15" max="15" width="14.140625" style="9" customWidth="1"/>
    <col min="16" max="16" width="13.85546875" style="154" customWidth="1"/>
    <col min="17" max="17" width="9.140625" style="7" customWidth="1"/>
    <col min="18" max="18" width="9.42578125" style="9" customWidth="1"/>
    <col min="19" max="19" width="10.5703125" style="9" hidden="1" customWidth="1"/>
    <col min="20" max="20" width="12.85546875" style="9" customWidth="1"/>
    <col min="21" max="21" width="12.5703125" style="9" customWidth="1"/>
    <col min="22" max="22" width="11.140625" style="9" hidden="1" customWidth="1"/>
    <col min="23" max="23" width="5.7109375" style="11" hidden="1" customWidth="1"/>
    <col min="24" max="25" width="16.28515625" style="9" customWidth="1"/>
    <col min="26" max="26" width="16.42578125" style="9" customWidth="1"/>
    <col min="27" max="28" width="7.42578125" style="9" customWidth="1"/>
    <col min="29" max="29" width="16" style="157" customWidth="1"/>
    <col min="30" max="30" width="10.5703125" style="157" hidden="1" customWidth="1"/>
    <col min="31" max="31" width="0" style="157" hidden="1" customWidth="1"/>
    <col min="32" max="32" width="10.5703125" style="157" hidden="1" customWidth="1"/>
    <col min="33" max="33" width="7.42578125" style="157" hidden="1" customWidth="1"/>
    <col min="34" max="34" width="0" style="157" hidden="1" customWidth="1"/>
    <col min="35" max="35" width="14.42578125" style="157" bestFit="1" customWidth="1"/>
    <col min="36" max="36" width="28.140625" style="157" customWidth="1"/>
    <col min="37" max="37" width="20.140625" style="157" customWidth="1"/>
    <col min="38" max="38" width="9" style="157"/>
    <col min="39" max="39" width="21.140625" style="79" customWidth="1"/>
    <col min="40" max="40" width="15.42578125" style="79" customWidth="1"/>
    <col min="41" max="41" width="12.5703125" style="79" bestFit="1" customWidth="1"/>
    <col min="42" max="42" width="12.140625" style="79" bestFit="1" customWidth="1"/>
    <col min="43" max="43" width="10.5703125" style="79" bestFit="1" customWidth="1"/>
    <col min="44" max="46" width="9" style="79"/>
    <col min="47" max="98" width="9" style="7"/>
    <col min="99" max="16384" width="9" style="9"/>
  </cols>
  <sheetData>
    <row r="2" spans="1:98">
      <c r="C2" s="128" t="s">
        <v>4</v>
      </c>
      <c r="O2" s="8"/>
    </row>
    <row r="4" spans="1:98" ht="32.1" customHeight="1" thickBot="1">
      <c r="A4" s="240" t="s">
        <v>54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"/>
      <c r="AB4" s="24"/>
    </row>
    <row r="5" spans="1:98" s="21" customFormat="1" ht="45.75" customHeight="1" thickBot="1">
      <c r="A5" s="150" t="s">
        <v>6</v>
      </c>
      <c r="B5" s="13" t="s">
        <v>7</v>
      </c>
      <c r="C5" s="129" t="s">
        <v>15</v>
      </c>
      <c r="D5" s="14" t="s">
        <v>38</v>
      </c>
      <c r="E5" s="144" t="s">
        <v>41</v>
      </c>
      <c r="F5" s="14"/>
      <c r="G5" s="84" t="s">
        <v>39</v>
      </c>
      <c r="H5" s="229" t="s">
        <v>48</v>
      </c>
      <c r="I5" s="15" t="s">
        <v>43</v>
      </c>
      <c r="J5" s="15" t="s">
        <v>53</v>
      </c>
      <c r="K5" s="130" t="s">
        <v>37</v>
      </c>
      <c r="L5" s="14"/>
      <c r="M5" s="14" t="s">
        <v>16</v>
      </c>
      <c r="N5" s="182" t="s">
        <v>0</v>
      </c>
      <c r="O5" s="106" t="s">
        <v>28</v>
      </c>
      <c r="P5" s="170" t="s">
        <v>8</v>
      </c>
      <c r="Q5" s="116" t="s">
        <v>9</v>
      </c>
      <c r="R5" s="181" t="s">
        <v>5</v>
      </c>
      <c r="S5" s="102" t="s">
        <v>30</v>
      </c>
      <c r="T5" s="149" t="s">
        <v>42</v>
      </c>
      <c r="U5" s="116" t="s">
        <v>40</v>
      </c>
      <c r="V5" s="16" t="s">
        <v>18</v>
      </c>
      <c r="W5" s="17"/>
      <c r="X5" s="18" t="s">
        <v>13</v>
      </c>
      <c r="Y5" s="19" t="s">
        <v>10</v>
      </c>
      <c r="Z5" s="20" t="s">
        <v>17</v>
      </c>
      <c r="AA5" s="22"/>
      <c r="AB5" s="22"/>
      <c r="AC5" s="158"/>
      <c r="AD5" s="157"/>
      <c r="AE5" s="157"/>
      <c r="AF5" s="157"/>
      <c r="AG5" s="157"/>
      <c r="AH5" s="159"/>
      <c r="AI5" s="79"/>
      <c r="AJ5" s="157"/>
      <c r="AK5" s="157"/>
      <c r="AL5" s="157"/>
      <c r="AM5" s="79"/>
      <c r="AN5" s="79"/>
      <c r="AO5" s="79"/>
      <c r="AP5" s="79"/>
      <c r="AQ5" s="79"/>
      <c r="AR5" s="79"/>
      <c r="AS5" s="79"/>
      <c r="AT5" s="79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</row>
    <row r="6" spans="1:98" ht="36" customHeight="1">
      <c r="A6" s="25"/>
      <c r="B6" s="29" t="s">
        <v>44</v>
      </c>
      <c r="C6" s="2"/>
      <c r="D6" s="132"/>
      <c r="E6" s="132"/>
      <c r="F6" s="2"/>
      <c r="G6" s="86"/>
      <c r="H6" s="125"/>
      <c r="I6" s="1"/>
      <c r="J6" s="1"/>
      <c r="K6" s="1"/>
      <c r="L6" s="76"/>
      <c r="M6" s="1"/>
      <c r="N6" s="183"/>
      <c r="O6" s="30"/>
      <c r="P6" s="151"/>
      <c r="Q6" s="31"/>
      <c r="R6" s="31"/>
      <c r="S6" s="31"/>
      <c r="T6" s="31"/>
      <c r="U6" s="31"/>
      <c r="V6" s="31"/>
      <c r="W6" s="32"/>
      <c r="X6" s="33"/>
      <c r="Y6" s="33"/>
      <c r="Z6" s="28"/>
      <c r="AA6" s="4"/>
      <c r="AB6" s="4"/>
      <c r="AD6" s="158"/>
      <c r="AH6" s="160"/>
      <c r="AL6" s="158"/>
    </row>
    <row r="7" spans="1:98" ht="36" customHeight="1">
      <c r="A7" s="100">
        <v>1</v>
      </c>
      <c r="B7" s="26" t="s">
        <v>1</v>
      </c>
      <c r="C7" s="231">
        <v>138500</v>
      </c>
      <c r="D7" s="133">
        <v>13</v>
      </c>
      <c r="E7" s="133">
        <f>+G7+H7</f>
        <v>218830</v>
      </c>
      <c r="F7" s="76">
        <v>0</v>
      </c>
      <c r="G7" s="85">
        <f>+C7</f>
        <v>138500</v>
      </c>
      <c r="H7" s="76">
        <f>+G7*58%</f>
        <v>80330</v>
      </c>
      <c r="I7" s="1">
        <v>0</v>
      </c>
      <c r="J7" s="76">
        <v>1000</v>
      </c>
      <c r="K7" s="76">
        <f>(3600)+(3600*58%)</f>
        <v>5688</v>
      </c>
      <c r="L7" s="76"/>
      <c r="M7" s="76">
        <v>0</v>
      </c>
      <c r="N7" s="174">
        <f>SUM(G7:K7)</f>
        <v>225518</v>
      </c>
      <c r="O7" s="76">
        <f>(G7+H7)*12%</f>
        <v>26259.599999999999</v>
      </c>
      <c r="P7" s="161">
        <v>36000</v>
      </c>
      <c r="Q7" s="76">
        <v>60</v>
      </c>
      <c r="R7" s="76">
        <v>110</v>
      </c>
      <c r="S7" s="76">
        <v>0</v>
      </c>
      <c r="T7" s="76"/>
      <c r="U7" s="76">
        <v>0</v>
      </c>
      <c r="V7" s="76"/>
      <c r="W7" s="27"/>
      <c r="X7" s="76">
        <f>SUM(O7:U7)</f>
        <v>62429.599999999999</v>
      </c>
      <c r="Y7" s="76">
        <f>+N7-X7</f>
        <v>163088.4</v>
      </c>
      <c r="Z7" s="28"/>
      <c r="AA7" s="4"/>
      <c r="AB7" s="4"/>
      <c r="AC7" s="78"/>
      <c r="AD7" s="68"/>
      <c r="AE7" s="66"/>
      <c r="AF7" s="66"/>
      <c r="AG7" s="79"/>
      <c r="AH7" s="82"/>
      <c r="AI7" s="79"/>
      <c r="AJ7" s="79"/>
      <c r="AK7" s="79"/>
      <c r="AL7" s="79"/>
    </row>
    <row r="8" spans="1:98" ht="36" customHeight="1">
      <c r="A8" s="25"/>
      <c r="B8" s="29" t="s">
        <v>46</v>
      </c>
      <c r="C8" s="2"/>
      <c r="D8" s="132"/>
      <c r="E8" s="132"/>
      <c r="F8" s="2"/>
      <c r="G8" s="86"/>
      <c r="H8" s="125"/>
      <c r="I8" s="1"/>
      <c r="J8" s="76"/>
      <c r="K8" s="76"/>
      <c r="L8" s="76"/>
      <c r="M8" s="76"/>
      <c r="N8" s="174"/>
      <c r="O8" s="34"/>
      <c r="P8" s="151"/>
      <c r="Q8" s="76"/>
      <c r="R8" s="31"/>
      <c r="S8" s="76"/>
      <c r="T8" s="76"/>
      <c r="U8" s="76"/>
      <c r="V8" s="76"/>
      <c r="W8" s="27"/>
      <c r="X8" s="76"/>
      <c r="Y8" s="35"/>
      <c r="Z8" s="81"/>
      <c r="AA8" s="4"/>
      <c r="AB8" s="4"/>
      <c r="AC8" s="79"/>
      <c r="AD8" s="68"/>
      <c r="AE8" s="66"/>
      <c r="AF8" s="66"/>
      <c r="AG8" s="79"/>
      <c r="AH8" s="82"/>
      <c r="AI8" s="79"/>
      <c r="AJ8" s="79"/>
      <c r="AK8" s="79"/>
      <c r="AL8" s="79"/>
    </row>
    <row r="9" spans="1:98" ht="39.75" customHeight="1">
      <c r="A9" s="100">
        <f>+A7+1</f>
        <v>2</v>
      </c>
      <c r="B9" s="80" t="s">
        <v>19</v>
      </c>
      <c r="C9" s="114">
        <v>105600</v>
      </c>
      <c r="D9" s="135">
        <v>11</v>
      </c>
      <c r="E9" s="133">
        <f>+G9+H9</f>
        <v>166848</v>
      </c>
      <c r="F9" s="76">
        <v>0</v>
      </c>
      <c r="G9" s="85">
        <f t="shared" ref="G9:G11" si="0">+C9</f>
        <v>105600</v>
      </c>
      <c r="H9" s="76">
        <f>+G9*58%</f>
        <v>61247.999999999993</v>
      </c>
      <c r="I9" s="76">
        <v>0</v>
      </c>
      <c r="J9" s="76">
        <v>1000</v>
      </c>
      <c r="K9" s="76">
        <f>(3600)+(3600*58%)</f>
        <v>5688</v>
      </c>
      <c r="L9" s="76"/>
      <c r="M9" s="76">
        <v>0</v>
      </c>
      <c r="N9" s="174">
        <f>SUM(G9:K9)</f>
        <v>173536</v>
      </c>
      <c r="O9" s="76">
        <f>(G9+H9)*12%</f>
        <v>20021.759999999998</v>
      </c>
      <c r="P9" s="236">
        <v>0</v>
      </c>
      <c r="Q9" s="76">
        <v>0</v>
      </c>
      <c r="R9" s="76">
        <v>110</v>
      </c>
      <c r="S9" s="76">
        <v>0</v>
      </c>
      <c r="T9" s="76"/>
      <c r="U9" s="76">
        <f>206*2</f>
        <v>412</v>
      </c>
      <c r="V9" s="76"/>
      <c r="W9" s="27"/>
      <c r="X9" s="76">
        <f>SUM(O9:U9)</f>
        <v>20543.759999999998</v>
      </c>
      <c r="Y9" s="76">
        <f>+N9-X9</f>
        <v>152992.24</v>
      </c>
      <c r="Z9" s="81"/>
      <c r="AA9" s="78"/>
      <c r="AB9" s="78"/>
      <c r="AC9" s="78"/>
      <c r="AD9" s="68"/>
      <c r="AE9" s="66"/>
      <c r="AF9" s="66"/>
      <c r="AG9" s="79"/>
      <c r="AH9" s="82"/>
      <c r="AI9" s="79"/>
      <c r="AJ9" s="79"/>
      <c r="AK9" s="79"/>
      <c r="AL9" s="79"/>
    </row>
    <row r="10" spans="1:98" ht="36" customHeight="1">
      <c r="A10" s="100"/>
      <c r="B10" s="80"/>
      <c r="C10" s="114"/>
      <c r="D10" s="134"/>
      <c r="E10" s="134"/>
      <c r="F10" s="76"/>
      <c r="G10" s="85">
        <f t="shared" si="0"/>
        <v>0</v>
      </c>
      <c r="H10" s="76"/>
      <c r="I10" s="76"/>
      <c r="J10" s="76"/>
      <c r="K10" s="76"/>
      <c r="L10" s="76"/>
      <c r="M10" s="76"/>
      <c r="N10" s="174">
        <f t="shared" ref="N10" si="1">SUM(G10:K10)</f>
        <v>0</v>
      </c>
      <c r="O10" s="76"/>
      <c r="P10" s="161"/>
      <c r="Q10" s="76"/>
      <c r="R10" s="76">
        <v>0</v>
      </c>
      <c r="S10" s="76"/>
      <c r="T10" s="76"/>
      <c r="U10" s="76"/>
      <c r="V10" s="76"/>
      <c r="W10" s="27"/>
      <c r="X10" s="76">
        <f t="shared" ref="X10" si="2">SUM(O10:W10)</f>
        <v>0</v>
      </c>
      <c r="Y10" s="76">
        <f t="shared" ref="Y10" si="3">+N10-X10</f>
        <v>0</v>
      </c>
      <c r="Z10" s="81"/>
      <c r="AA10" s="4"/>
      <c r="AB10" s="4"/>
      <c r="AC10" s="79"/>
      <c r="AD10" s="68"/>
      <c r="AE10" s="66"/>
      <c r="AF10" s="66"/>
      <c r="AG10" s="79"/>
      <c r="AH10" s="82"/>
      <c r="AI10" s="79"/>
      <c r="AJ10" s="79"/>
      <c r="AK10" s="79"/>
      <c r="AL10" s="79"/>
    </row>
    <row r="11" spans="1:98" ht="36" customHeight="1">
      <c r="A11" s="100">
        <v>3</v>
      </c>
      <c r="B11" s="80" t="s">
        <v>14</v>
      </c>
      <c r="C11" s="114">
        <v>85800</v>
      </c>
      <c r="D11" s="135">
        <v>11</v>
      </c>
      <c r="E11" s="133">
        <f>+G11+H11</f>
        <v>135564</v>
      </c>
      <c r="F11" s="76"/>
      <c r="G11" s="76">
        <f t="shared" si="0"/>
        <v>85800</v>
      </c>
      <c r="H11" s="76">
        <f>+G11*58%</f>
        <v>49764</v>
      </c>
      <c r="I11" s="76">
        <v>0</v>
      </c>
      <c r="J11" s="76">
        <v>1000</v>
      </c>
      <c r="K11" s="76">
        <f>(3600)+(3600*58%)</f>
        <v>5688</v>
      </c>
      <c r="L11" s="76"/>
      <c r="M11" s="76">
        <v>0</v>
      </c>
      <c r="N11" s="174">
        <f>SUM(G11:K11)</f>
        <v>142252</v>
      </c>
      <c r="O11" s="76">
        <f>(G11+H11)*12%</f>
        <v>16267.68</v>
      </c>
      <c r="P11" s="161">
        <v>20000</v>
      </c>
      <c r="Q11" s="76">
        <v>60</v>
      </c>
      <c r="R11" s="76">
        <v>110</v>
      </c>
      <c r="S11" s="76">
        <v>0</v>
      </c>
      <c r="T11" s="76"/>
      <c r="U11" s="76">
        <v>412</v>
      </c>
      <c r="V11" s="76"/>
      <c r="W11" s="27"/>
      <c r="X11" s="76">
        <f>SUM(O11:U11)</f>
        <v>36849.68</v>
      </c>
      <c r="Y11" s="76">
        <f>+N11-X11</f>
        <v>105402.32</v>
      </c>
      <c r="Z11" s="81"/>
      <c r="AA11" s="4"/>
      <c r="AB11" s="4">
        <v>25</v>
      </c>
      <c r="AC11" s="78"/>
      <c r="AD11" s="68"/>
      <c r="AE11" s="66"/>
      <c r="AF11" s="66"/>
      <c r="AG11" s="79"/>
      <c r="AH11" s="82"/>
      <c r="AI11" s="233"/>
      <c r="AJ11" s="79"/>
      <c r="AK11" s="79"/>
      <c r="AL11" s="79"/>
    </row>
    <row r="12" spans="1:98" ht="36" customHeight="1">
      <c r="A12" s="25"/>
      <c r="B12" s="29" t="s">
        <v>33</v>
      </c>
      <c r="C12" s="2"/>
      <c r="D12" s="132"/>
      <c r="E12" s="132"/>
      <c r="F12" s="2"/>
      <c r="G12" s="86"/>
      <c r="H12" s="125"/>
      <c r="I12" s="1"/>
      <c r="J12" s="76"/>
      <c r="K12" s="76"/>
      <c r="L12" s="76"/>
      <c r="M12" s="34"/>
      <c r="N12" s="174"/>
      <c r="O12" s="34"/>
      <c r="P12" s="161"/>
      <c r="Q12" s="34"/>
      <c r="R12" s="31"/>
      <c r="S12" s="34"/>
      <c r="T12" s="34"/>
      <c r="U12" s="34"/>
      <c r="V12" s="34"/>
      <c r="W12" s="36"/>
      <c r="X12" s="76"/>
      <c r="Y12" s="35"/>
      <c r="Z12" s="81"/>
      <c r="AA12" s="4"/>
      <c r="AB12" s="4"/>
      <c r="AC12" s="237"/>
      <c r="AD12" s="68"/>
      <c r="AE12" s="66"/>
      <c r="AF12" s="66"/>
      <c r="AG12" s="79"/>
      <c r="AH12" s="82"/>
      <c r="AI12" s="79"/>
      <c r="AJ12" s="79"/>
      <c r="AK12" s="79"/>
      <c r="AL12" s="79"/>
    </row>
    <row r="13" spans="1:98" ht="36" customHeight="1">
      <c r="A13" s="25">
        <f>+A11+1</f>
        <v>4</v>
      </c>
      <c r="B13" s="26" t="s">
        <v>3</v>
      </c>
      <c r="C13" s="76">
        <v>121300</v>
      </c>
      <c r="D13" s="133">
        <v>9</v>
      </c>
      <c r="E13" s="133">
        <f>+G13+H13</f>
        <v>191654</v>
      </c>
      <c r="F13" s="76"/>
      <c r="G13" s="76">
        <f>+C13</f>
        <v>121300</v>
      </c>
      <c r="H13" s="76">
        <f>+G13*58%</f>
        <v>70354</v>
      </c>
      <c r="I13" s="169">
        <f>+G13*20%</f>
        <v>24260</v>
      </c>
      <c r="J13" s="76">
        <v>1000</v>
      </c>
      <c r="K13" s="76">
        <f>(3600)+(3600*58%)</f>
        <v>5688</v>
      </c>
      <c r="L13" s="76"/>
      <c r="M13" s="76">
        <v>0</v>
      </c>
      <c r="N13" s="174">
        <f>SUM(G13:K13)</f>
        <v>222602</v>
      </c>
      <c r="O13" s="76">
        <f>(G13+H13)*12%</f>
        <v>22998.48</v>
      </c>
      <c r="P13" s="161">
        <v>42500</v>
      </c>
      <c r="Q13" s="76">
        <v>0</v>
      </c>
      <c r="R13" s="76">
        <v>110</v>
      </c>
      <c r="S13" s="76">
        <v>0</v>
      </c>
      <c r="T13" s="76"/>
      <c r="U13" s="76">
        <v>0</v>
      </c>
      <c r="V13" s="76"/>
      <c r="W13" s="27"/>
      <c r="X13" s="76">
        <f>SUM(O13:U13)</f>
        <v>65608.479999999996</v>
      </c>
      <c r="Y13" s="76">
        <f>+N13-X13</f>
        <v>156993.52000000002</v>
      </c>
      <c r="Z13" s="81"/>
      <c r="AA13" s="4"/>
      <c r="AB13" s="4"/>
      <c r="AC13" s="78"/>
      <c r="AD13" s="68"/>
      <c r="AE13" s="66"/>
      <c r="AF13" s="66"/>
      <c r="AG13" s="79"/>
      <c r="AH13" s="82"/>
      <c r="AI13" s="79"/>
      <c r="AJ13" s="79"/>
      <c r="AK13" s="79"/>
      <c r="AL13" s="79"/>
    </row>
    <row r="14" spans="1:98" s="41" customFormat="1" ht="36" customHeight="1" thickBot="1">
      <c r="A14" s="37"/>
      <c r="B14" s="38"/>
      <c r="C14" s="189">
        <f>SUM(C7:C13)</f>
        <v>451200</v>
      </c>
      <c r="D14" s="190"/>
      <c r="E14" s="190"/>
      <c r="F14" s="189">
        <f t="shared" ref="F14" si="4">+F7+F9+F11+F13</f>
        <v>0</v>
      </c>
      <c r="G14" s="189">
        <f>SUM(G7:G13)</f>
        <v>451200</v>
      </c>
      <c r="H14" s="189">
        <f>SUM(H7:H13)</f>
        <v>261696</v>
      </c>
      <c r="I14" s="189">
        <f t="shared" ref="I14:M14" si="5">+I7+I9+I11+I13</f>
        <v>24260</v>
      </c>
      <c r="J14" s="189">
        <f t="shared" si="5"/>
        <v>4000</v>
      </c>
      <c r="K14" s="189">
        <f>SUM(K7:K13)</f>
        <v>22752</v>
      </c>
      <c r="L14" s="189">
        <f t="shared" si="5"/>
        <v>0</v>
      </c>
      <c r="M14" s="189">
        <f t="shared" si="5"/>
        <v>0</v>
      </c>
      <c r="N14" s="191">
        <f>+N7+N9+N11+N13</f>
        <v>763908</v>
      </c>
      <c r="O14" s="192">
        <f>SUM(O6:O13)+0</f>
        <v>85547.520000000004</v>
      </c>
      <c r="P14" s="192">
        <f>+P7+P9+P11+P13</f>
        <v>98500</v>
      </c>
      <c r="Q14" s="193">
        <f t="shared" ref="Q14:V14" si="6">SUM(Q6:Q13)</f>
        <v>120</v>
      </c>
      <c r="R14" s="192">
        <f>+R7+R9+R11+R13</f>
        <v>440</v>
      </c>
      <c r="S14" s="192">
        <f t="shared" si="6"/>
        <v>0</v>
      </c>
      <c r="T14" s="192"/>
      <c r="U14" s="192">
        <f t="shared" si="6"/>
        <v>824</v>
      </c>
      <c r="V14" s="192">
        <f t="shared" si="6"/>
        <v>0</v>
      </c>
      <c r="W14" s="192"/>
      <c r="X14" s="192">
        <f>+O14+P14+Q14+R14+S14+U14+V14</f>
        <v>185431.52000000002</v>
      </c>
      <c r="Y14" s="192">
        <f>+N14-X14</f>
        <v>578476.48</v>
      </c>
      <c r="Z14" s="39"/>
      <c r="AA14" s="40"/>
      <c r="AB14" s="4"/>
      <c r="AC14" s="79"/>
      <c r="AD14" s="79"/>
      <c r="AE14" s="40"/>
      <c r="AF14" s="79"/>
      <c r="AG14" s="40"/>
      <c r="AH14" s="82"/>
      <c r="AI14" s="40"/>
      <c r="AJ14" s="40"/>
      <c r="AK14" s="40"/>
      <c r="AL14" s="79"/>
      <c r="AM14" s="40"/>
      <c r="AN14" s="40"/>
      <c r="AO14" s="79"/>
      <c r="AP14" s="40"/>
      <c r="AQ14" s="79"/>
      <c r="AR14" s="40"/>
      <c r="AS14" s="40"/>
      <c r="AT14" s="40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</row>
    <row r="15" spans="1:98" s="41" customFormat="1" ht="36" customHeight="1">
      <c r="A15" s="42"/>
      <c r="B15" s="43" t="s">
        <v>36</v>
      </c>
      <c r="C15" s="3"/>
      <c r="D15" s="50"/>
      <c r="E15" s="50"/>
      <c r="F15" s="3"/>
      <c r="G15" s="87"/>
      <c r="H15" s="30"/>
      <c r="I15" s="3"/>
      <c r="J15" s="3"/>
      <c r="K15" s="3"/>
      <c r="L15" s="3"/>
      <c r="M15" s="3"/>
      <c r="N15" s="184"/>
      <c r="O15" s="3"/>
      <c r="P15" s="3"/>
      <c r="Q15" s="3"/>
      <c r="R15" s="3"/>
      <c r="S15" s="3"/>
      <c r="T15" s="3"/>
      <c r="U15" s="3"/>
      <c r="V15" s="3"/>
      <c r="W15" s="44"/>
      <c r="X15" s="3"/>
      <c r="Y15" s="45"/>
      <c r="Z15" s="46" t="s">
        <v>17</v>
      </c>
      <c r="AA15" s="40"/>
      <c r="AB15" s="4"/>
      <c r="AC15" s="79"/>
      <c r="AD15" s="79"/>
      <c r="AE15" s="40"/>
      <c r="AF15" s="79"/>
      <c r="AG15" s="40"/>
      <c r="AH15" s="82"/>
      <c r="AI15" s="40"/>
      <c r="AJ15" s="40"/>
      <c r="AK15" s="40"/>
      <c r="AL15" s="79"/>
      <c r="AM15" s="40"/>
      <c r="AN15" s="40"/>
      <c r="AO15" s="79"/>
      <c r="AP15" s="40"/>
      <c r="AQ15" s="79"/>
      <c r="AR15" s="40"/>
      <c r="AS15" s="40"/>
      <c r="AT15" s="40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</row>
    <row r="16" spans="1:98" ht="36" customHeight="1" thickBot="1">
      <c r="A16" s="100"/>
      <c r="B16" s="26"/>
      <c r="C16" s="76"/>
      <c r="D16" s="62"/>
      <c r="E16" s="62"/>
      <c r="F16" s="76"/>
      <c r="G16" s="85"/>
      <c r="H16" s="76"/>
      <c r="I16" s="1"/>
      <c r="J16" s="76"/>
      <c r="K16" s="76"/>
      <c r="L16" s="76">
        <v>300</v>
      </c>
      <c r="M16" s="76"/>
      <c r="N16" s="174"/>
      <c r="O16" s="107"/>
      <c r="P16" s="161"/>
      <c r="Q16" s="76"/>
      <c r="R16" s="76"/>
      <c r="S16" s="76"/>
      <c r="T16" s="76"/>
      <c r="U16" s="76"/>
      <c r="V16" s="107"/>
      <c r="W16" s="108"/>
      <c r="X16" s="107"/>
      <c r="Y16" s="107"/>
      <c r="Z16" s="28"/>
      <c r="AA16" s="4"/>
      <c r="AB16" s="4"/>
      <c r="AC16" s="79"/>
      <c r="AD16" s="79"/>
      <c r="AE16" s="79"/>
      <c r="AF16" s="79"/>
      <c r="AG16" s="79"/>
      <c r="AH16" s="82"/>
      <c r="AI16" s="79"/>
      <c r="AJ16" s="79"/>
      <c r="AK16" s="79"/>
      <c r="AL16" s="79"/>
    </row>
    <row r="17" spans="1:98" ht="36" customHeight="1">
      <c r="A17" s="100">
        <f>+A13+1</f>
        <v>5</v>
      </c>
      <c r="B17" s="80" t="s">
        <v>2</v>
      </c>
      <c r="C17" s="114">
        <v>77900</v>
      </c>
      <c r="D17" s="135">
        <v>9</v>
      </c>
      <c r="E17" s="133">
        <f t="shared" ref="E17:E22" si="7">+G17+H17</f>
        <v>123082</v>
      </c>
      <c r="F17" s="76"/>
      <c r="G17" s="85">
        <f t="shared" ref="G17:G22" si="8">+C17</f>
        <v>77900</v>
      </c>
      <c r="H17" s="76">
        <f>+G17*58%</f>
        <v>45182</v>
      </c>
      <c r="I17" s="76">
        <v>0</v>
      </c>
      <c r="J17" s="76">
        <v>1000</v>
      </c>
      <c r="K17" s="76">
        <f>(3600)+(3600*58%)</f>
        <v>5688</v>
      </c>
      <c r="L17" s="76"/>
      <c r="M17" s="76">
        <v>0</v>
      </c>
      <c r="N17" s="174">
        <f>SUM(G17:K17)</f>
        <v>129770</v>
      </c>
      <c r="O17" s="76">
        <f t="shared" ref="O17:O22" si="9">(G17+H17)*12%</f>
        <v>14769.84</v>
      </c>
      <c r="P17" s="161">
        <v>15000</v>
      </c>
      <c r="Q17" s="76">
        <v>45</v>
      </c>
      <c r="R17" s="76">
        <v>110</v>
      </c>
      <c r="S17" s="76">
        <v>0</v>
      </c>
      <c r="T17" s="76"/>
      <c r="U17" s="76">
        <v>206</v>
      </c>
      <c r="V17" s="109">
        <v>0</v>
      </c>
      <c r="W17" s="27"/>
      <c r="X17" s="76">
        <f t="shared" ref="X17:X19" si="10">SUM(O17:U17)</f>
        <v>30130.84</v>
      </c>
      <c r="Y17" s="76">
        <f>+N17-X17</f>
        <v>99639.16</v>
      </c>
      <c r="Z17" s="81"/>
      <c r="AA17" s="4"/>
      <c r="AB17" s="4"/>
      <c r="AC17" s="78"/>
      <c r="AD17" s="68"/>
      <c r="AE17" s="66"/>
      <c r="AF17" s="66"/>
      <c r="AG17" s="79"/>
      <c r="AH17" s="82"/>
      <c r="AI17" s="79"/>
      <c r="AJ17" s="79"/>
      <c r="AK17" s="79"/>
      <c r="AL17" s="79"/>
    </row>
    <row r="18" spans="1:98" s="7" customFormat="1" ht="36" customHeight="1">
      <c r="A18" s="127">
        <f>+A17+1</f>
        <v>6</v>
      </c>
      <c r="B18" s="80" t="s">
        <v>23</v>
      </c>
      <c r="C18" s="76">
        <v>71300</v>
      </c>
      <c r="D18" s="133">
        <v>9</v>
      </c>
      <c r="E18" s="133">
        <f t="shared" si="7"/>
        <v>112654</v>
      </c>
      <c r="F18" s="76"/>
      <c r="G18" s="85">
        <f t="shared" si="8"/>
        <v>71300</v>
      </c>
      <c r="H18" s="76">
        <f>+G18*58%</f>
        <v>41354</v>
      </c>
      <c r="I18" s="76">
        <v>0</v>
      </c>
      <c r="J18" s="76">
        <v>1000</v>
      </c>
      <c r="K18" s="76">
        <f>(3600)+(3600*58%)</f>
        <v>5688</v>
      </c>
      <c r="L18" s="76"/>
      <c r="M18" s="76">
        <v>0</v>
      </c>
      <c r="N18" s="174">
        <f>SUM(G18:K18)</f>
        <v>119342</v>
      </c>
      <c r="O18" s="76">
        <f t="shared" si="9"/>
        <v>13518.48</v>
      </c>
      <c r="P18" s="161">
        <v>15000</v>
      </c>
      <c r="Q18" s="76">
        <v>45</v>
      </c>
      <c r="R18" s="76">
        <v>110</v>
      </c>
      <c r="S18" s="76">
        <v>0</v>
      </c>
      <c r="T18" s="76"/>
      <c r="U18" s="76">
        <v>206</v>
      </c>
      <c r="V18" s="76">
        <v>0</v>
      </c>
      <c r="W18" s="27"/>
      <c r="X18" s="76">
        <f t="shared" si="10"/>
        <v>28879.48</v>
      </c>
      <c r="Y18" s="76">
        <f t="shared" ref="Y18:Y22" si="11">+N18-X18</f>
        <v>90462.52</v>
      </c>
      <c r="Z18" s="81"/>
      <c r="AA18" s="78"/>
      <c r="AB18" s="78"/>
      <c r="AC18" s="78"/>
      <c r="AD18" s="68"/>
      <c r="AE18" s="66"/>
      <c r="AF18" s="66"/>
      <c r="AG18" s="79"/>
      <c r="AH18" s="82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</row>
    <row r="19" spans="1:98" s="7" customFormat="1" ht="36" customHeight="1">
      <c r="A19" s="101">
        <f>+A18+1</f>
        <v>7</v>
      </c>
      <c r="B19" s="80" t="s">
        <v>27</v>
      </c>
      <c r="C19" s="76">
        <v>69200</v>
      </c>
      <c r="D19" s="133">
        <v>9</v>
      </c>
      <c r="E19" s="133">
        <f t="shared" si="7"/>
        <v>109336</v>
      </c>
      <c r="F19" s="76"/>
      <c r="G19" s="85">
        <f t="shared" si="8"/>
        <v>69200</v>
      </c>
      <c r="H19" s="76">
        <f>+G19*58%</f>
        <v>40136</v>
      </c>
      <c r="I19" s="169">
        <f>+G19*20%</f>
        <v>13840</v>
      </c>
      <c r="J19" s="76">
        <v>1000</v>
      </c>
      <c r="K19" s="76">
        <f>(3600)+(3600*58%)</f>
        <v>5688</v>
      </c>
      <c r="L19" s="76"/>
      <c r="M19" s="76">
        <v>0</v>
      </c>
      <c r="N19" s="174">
        <f>SUM(G19:K19)</f>
        <v>129864</v>
      </c>
      <c r="O19" s="76">
        <f t="shared" si="9"/>
        <v>13120.32</v>
      </c>
      <c r="P19" s="161">
        <v>17000</v>
      </c>
      <c r="Q19" s="76">
        <v>45</v>
      </c>
      <c r="R19" s="76">
        <v>110</v>
      </c>
      <c r="S19" s="76">
        <v>0</v>
      </c>
      <c r="T19" s="76"/>
      <c r="U19" s="76">
        <v>0</v>
      </c>
      <c r="V19" s="76">
        <v>0</v>
      </c>
      <c r="W19" s="27"/>
      <c r="X19" s="76">
        <f t="shared" si="10"/>
        <v>30275.32</v>
      </c>
      <c r="Y19" s="76">
        <f t="shared" si="11"/>
        <v>99588.68</v>
      </c>
      <c r="Z19" s="81"/>
      <c r="AA19" s="4"/>
      <c r="AB19" s="4">
        <v>21.5</v>
      </c>
      <c r="AC19" s="78"/>
      <c r="AD19" s="68"/>
      <c r="AE19" s="66"/>
      <c r="AF19" s="66"/>
      <c r="AG19" s="79"/>
      <c r="AH19" s="82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</row>
    <row r="20" spans="1:98" s="7" customFormat="1" ht="36" customHeight="1">
      <c r="A20" s="25"/>
      <c r="B20" s="43"/>
      <c r="C20" s="43"/>
      <c r="D20" s="136"/>
      <c r="E20" s="133"/>
      <c r="F20" s="76"/>
      <c r="G20" s="85"/>
      <c r="H20" s="76"/>
      <c r="I20" s="1"/>
      <c r="J20" s="76"/>
      <c r="K20" s="76"/>
      <c r="L20" s="34"/>
      <c r="M20" s="34"/>
      <c r="N20" s="174"/>
      <c r="O20" s="76"/>
      <c r="P20" s="161"/>
      <c r="Q20" s="34"/>
      <c r="R20" s="76"/>
      <c r="S20" s="34"/>
      <c r="T20" s="34"/>
      <c r="U20" s="34"/>
      <c r="V20" s="34"/>
      <c r="W20" s="36"/>
      <c r="X20" s="76"/>
      <c r="Y20" s="76"/>
      <c r="Z20" s="81"/>
      <c r="AA20" s="4"/>
      <c r="AB20" s="4"/>
      <c r="AC20" s="79"/>
      <c r="AD20" s="79"/>
      <c r="AE20" s="79"/>
      <c r="AF20" s="79"/>
      <c r="AG20" s="79"/>
      <c r="AH20" s="82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</row>
    <row r="21" spans="1:98" s="7" customFormat="1" ht="41.25" customHeight="1">
      <c r="A21" s="105">
        <f>+A19+1</f>
        <v>8</v>
      </c>
      <c r="B21" s="80" t="s">
        <v>29</v>
      </c>
      <c r="C21" s="76">
        <f>75000-3693</f>
        <v>71307</v>
      </c>
      <c r="D21" s="62"/>
      <c r="E21" s="133">
        <f t="shared" si="7"/>
        <v>71307</v>
      </c>
      <c r="F21" s="76">
        <v>0</v>
      </c>
      <c r="G21" s="85">
        <f t="shared" si="8"/>
        <v>71307</v>
      </c>
      <c r="H21" s="76">
        <v>0</v>
      </c>
      <c r="I21" s="76">
        <v>0</v>
      </c>
      <c r="J21" s="76">
        <v>0</v>
      </c>
      <c r="K21" s="76">
        <v>0</v>
      </c>
      <c r="L21" s="76"/>
      <c r="M21" s="131">
        <v>0</v>
      </c>
      <c r="N21" s="174">
        <f t="shared" ref="N21:N22" si="12">SUM(G21:K21)</f>
        <v>71307</v>
      </c>
      <c r="O21" s="76">
        <f t="shared" si="9"/>
        <v>8556.84</v>
      </c>
      <c r="P21" s="76">
        <v>0</v>
      </c>
      <c r="Q21" s="76">
        <v>0</v>
      </c>
      <c r="R21" s="76">
        <v>110</v>
      </c>
      <c r="S21" s="76"/>
      <c r="T21" s="162"/>
      <c r="U21" s="76">
        <v>173</v>
      </c>
      <c r="V21" s="76">
        <v>0</v>
      </c>
      <c r="W21" s="27"/>
      <c r="X21" s="76">
        <f>SUM(O21:U21)</f>
        <v>8839.84</v>
      </c>
      <c r="Y21" s="76">
        <f t="shared" si="11"/>
        <v>62467.16</v>
      </c>
      <c r="Z21" s="81"/>
      <c r="AA21" s="78"/>
      <c r="AB21" s="78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</row>
    <row r="22" spans="1:98" s="99" customFormat="1" ht="36" customHeight="1">
      <c r="A22" s="119">
        <f t="shared" ref="A22" si="13">+A21+1</f>
        <v>9</v>
      </c>
      <c r="B22" s="80" t="s">
        <v>11</v>
      </c>
      <c r="C22" s="107">
        <v>70000</v>
      </c>
      <c r="D22" s="194">
        <v>7</v>
      </c>
      <c r="E22" s="133">
        <f t="shared" si="7"/>
        <v>110600</v>
      </c>
      <c r="F22" s="107"/>
      <c r="G22" s="107">
        <f t="shared" si="8"/>
        <v>70000</v>
      </c>
      <c r="H22" s="76">
        <f>+G22*58%</f>
        <v>40600</v>
      </c>
      <c r="I22" s="195">
        <f>+G22*20%</f>
        <v>14000</v>
      </c>
      <c r="J22" s="107">
        <v>1000</v>
      </c>
      <c r="K22" s="107">
        <f>(1800)+(1800*58%)</f>
        <v>2844</v>
      </c>
      <c r="L22" s="107"/>
      <c r="M22" s="107">
        <v>0</v>
      </c>
      <c r="N22" s="196">
        <f t="shared" si="12"/>
        <v>128444</v>
      </c>
      <c r="O22" s="107">
        <f t="shared" si="9"/>
        <v>13272</v>
      </c>
      <c r="P22" s="161">
        <v>12000</v>
      </c>
      <c r="Q22" s="76">
        <v>30</v>
      </c>
      <c r="R22" s="76">
        <v>110</v>
      </c>
      <c r="S22" s="76">
        <v>0</v>
      </c>
      <c r="T22" s="76"/>
      <c r="U22" s="76">
        <v>0</v>
      </c>
      <c r="V22" s="107">
        <v>0</v>
      </c>
      <c r="W22" s="108"/>
      <c r="X22" s="76">
        <f>SUM(O22:U22)</f>
        <v>25412</v>
      </c>
      <c r="Y22" s="107">
        <f t="shared" si="11"/>
        <v>103032</v>
      </c>
      <c r="Z22" s="81"/>
      <c r="AA22" s="75"/>
      <c r="AB22" s="75"/>
      <c r="AC22" s="78"/>
      <c r="AD22" s="78"/>
      <c r="AE22" s="66"/>
      <c r="AF22" s="66"/>
      <c r="AG22" s="79"/>
      <c r="AH22" s="82"/>
      <c r="AI22" s="79"/>
      <c r="AJ22" s="79"/>
      <c r="AK22" s="79"/>
      <c r="AL22" s="79"/>
      <c r="AM22" s="98"/>
      <c r="AN22" s="79"/>
      <c r="AO22" s="79"/>
      <c r="AP22" s="79"/>
      <c r="AQ22" s="79"/>
      <c r="AR22" s="98"/>
      <c r="AS22" s="98"/>
      <c r="AT22" s="98"/>
    </row>
    <row r="23" spans="1:98" s="41" customFormat="1" ht="47.25" customHeight="1" thickBot="1">
      <c r="A23" s="42"/>
      <c r="B23" s="48"/>
      <c r="C23" s="189">
        <f>SUM(C17:C22)</f>
        <v>359707</v>
      </c>
      <c r="D23" s="190"/>
      <c r="E23" s="190"/>
      <c r="F23" s="189">
        <f t="shared" ref="F23" si="14">+F17+F18+F19+F21+F22</f>
        <v>0</v>
      </c>
      <c r="G23" s="189">
        <f>+G17+G18+G19+G21+G22</f>
        <v>359707</v>
      </c>
      <c r="H23" s="189">
        <f t="shared" ref="H23:M23" si="15">+H17+H18+H19+H21+H22</f>
        <v>167272</v>
      </c>
      <c r="I23" s="189">
        <f t="shared" si="15"/>
        <v>27840</v>
      </c>
      <c r="J23" s="189">
        <f t="shared" si="15"/>
        <v>4000</v>
      </c>
      <c r="K23" s="189">
        <f t="shared" si="15"/>
        <v>19908</v>
      </c>
      <c r="L23" s="189">
        <f t="shared" si="15"/>
        <v>0</v>
      </c>
      <c r="M23" s="189">
        <f t="shared" si="15"/>
        <v>0</v>
      </c>
      <c r="N23" s="191">
        <f>+N17+N18+N19+N21+N22</f>
        <v>578727</v>
      </c>
      <c r="O23" s="197">
        <f>+O17+O18+O19+O21+O22</f>
        <v>63237.479999999996</v>
      </c>
      <c r="P23" s="197">
        <f>+P17+P18+P19+P21+P22</f>
        <v>59000</v>
      </c>
      <c r="Q23" s="189">
        <f t="shared" ref="Q23:V23" si="16">+Q17+Q18+Q19+Q21+Q22</f>
        <v>165</v>
      </c>
      <c r="R23" s="197">
        <f t="shared" si="16"/>
        <v>550</v>
      </c>
      <c r="S23" s="197">
        <f t="shared" si="16"/>
        <v>0</v>
      </c>
      <c r="T23" s="197">
        <f>SUM(T15:T22)</f>
        <v>0</v>
      </c>
      <c r="U23" s="197">
        <f t="shared" si="16"/>
        <v>585</v>
      </c>
      <c r="V23" s="197">
        <f t="shared" si="16"/>
        <v>0</v>
      </c>
      <c r="W23" s="197"/>
      <c r="X23" s="197">
        <f>+X17+X18+X19+X21+X22</f>
        <v>123537.48</v>
      </c>
      <c r="Y23" s="197">
        <f>+Y17+Y18+Y19+Y21+Y22</f>
        <v>455189.52</v>
      </c>
      <c r="Z23" s="49"/>
      <c r="AA23" s="40"/>
      <c r="AB23" s="4"/>
      <c r="AC23" s="79"/>
      <c r="AD23" s="79"/>
      <c r="AE23" s="40"/>
      <c r="AF23" s="79"/>
      <c r="AG23" s="40"/>
      <c r="AH23" s="82"/>
      <c r="AI23" s="40"/>
      <c r="AJ23" s="40"/>
      <c r="AK23" s="40"/>
      <c r="AL23" s="79"/>
      <c r="AM23" s="40"/>
      <c r="AN23" s="40"/>
      <c r="AO23" s="79"/>
      <c r="AP23" s="40"/>
      <c r="AQ23" s="79"/>
      <c r="AR23" s="40"/>
      <c r="AS23" s="40"/>
      <c r="AT23" s="40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</row>
    <row r="24" spans="1:98" s="41" customFormat="1" ht="36" customHeight="1" thickBot="1">
      <c r="A24" s="50"/>
      <c r="B24" s="43" t="s">
        <v>32</v>
      </c>
      <c r="C24" s="51"/>
      <c r="D24" s="137"/>
      <c r="E24" s="137"/>
      <c r="F24" s="51"/>
      <c r="G24" s="89"/>
      <c r="H24" s="126"/>
      <c r="I24" s="52"/>
      <c r="J24" s="52"/>
      <c r="K24" s="52"/>
      <c r="L24" s="52"/>
      <c r="M24" s="52"/>
      <c r="N24" s="185"/>
      <c r="O24" s="52"/>
      <c r="P24" s="40"/>
      <c r="Q24" s="52"/>
      <c r="R24" s="52"/>
      <c r="S24" s="52"/>
      <c r="T24" s="52"/>
      <c r="U24" s="52"/>
      <c r="V24" s="52"/>
      <c r="W24" s="53"/>
      <c r="X24" s="54"/>
      <c r="Y24" s="55"/>
      <c r="Z24" s="56" t="s">
        <v>17</v>
      </c>
      <c r="AA24" s="40"/>
      <c r="AB24" s="4"/>
      <c r="AC24" s="79"/>
      <c r="AD24" s="79"/>
      <c r="AE24" s="40"/>
      <c r="AF24" s="79"/>
      <c r="AG24" s="40"/>
      <c r="AH24" s="82"/>
      <c r="AI24" s="40"/>
      <c r="AJ24" s="40"/>
      <c r="AK24" s="40"/>
      <c r="AL24" s="79"/>
      <c r="AM24" s="40"/>
      <c r="AN24" s="40"/>
      <c r="AO24" s="79"/>
      <c r="AP24" s="40"/>
      <c r="AQ24" s="79"/>
      <c r="AR24" s="40"/>
      <c r="AS24" s="40"/>
      <c r="AT24" s="40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</row>
    <row r="25" spans="1:98" ht="36" customHeight="1">
      <c r="A25" s="25">
        <f>+A22+1</f>
        <v>10</v>
      </c>
      <c r="B25" s="80" t="s">
        <v>21</v>
      </c>
      <c r="C25" s="57">
        <v>70000</v>
      </c>
      <c r="D25" s="133">
        <v>6</v>
      </c>
      <c r="E25" s="133">
        <f t="shared" ref="E25" si="17">+G25+H25</f>
        <v>110600</v>
      </c>
      <c r="F25" s="1"/>
      <c r="G25" s="76">
        <f t="shared" ref="G25" si="18">+C25</f>
        <v>70000</v>
      </c>
      <c r="H25" s="76">
        <f>+G25*58%</f>
        <v>40600</v>
      </c>
      <c r="I25" s="169">
        <f>+G25*20%</f>
        <v>14000</v>
      </c>
      <c r="J25" s="76">
        <v>1000</v>
      </c>
      <c r="K25" s="107">
        <f>(1800)+(1800*58%)</f>
        <v>2844</v>
      </c>
      <c r="L25" s="76"/>
      <c r="M25" s="76">
        <v>0</v>
      </c>
      <c r="N25" s="174">
        <f t="shared" ref="N25" si="19">SUM(G25:K25)</f>
        <v>128444</v>
      </c>
      <c r="O25" s="76">
        <f t="shared" ref="O25" si="20">(G25+H25)*12%</f>
        <v>13272</v>
      </c>
      <c r="P25" s="161">
        <v>11000</v>
      </c>
      <c r="Q25" s="76">
        <v>30</v>
      </c>
      <c r="R25" s="76">
        <v>110</v>
      </c>
      <c r="S25" s="76">
        <v>0</v>
      </c>
      <c r="T25" s="76"/>
      <c r="U25" s="76">
        <v>0</v>
      </c>
      <c r="V25" s="76"/>
      <c r="W25" s="27"/>
      <c r="X25" s="76">
        <f>SUM(O25:U25)</f>
        <v>24412</v>
      </c>
      <c r="Y25" s="76">
        <f t="shared" ref="Y25" si="21">+N25-X25</f>
        <v>104032</v>
      </c>
      <c r="Z25" s="81"/>
      <c r="AA25" s="4"/>
      <c r="AB25" s="4"/>
      <c r="AC25" s="78"/>
      <c r="AD25" s="78"/>
      <c r="AE25" s="66"/>
      <c r="AF25" s="66"/>
      <c r="AG25" s="79"/>
      <c r="AH25" s="82"/>
      <c r="AI25" s="79"/>
      <c r="AJ25" s="79"/>
      <c r="AL25" s="79"/>
    </row>
    <row r="26" spans="1:98" ht="36" customHeight="1">
      <c r="A26" s="25"/>
      <c r="B26" s="43" t="s">
        <v>49</v>
      </c>
      <c r="C26" s="43"/>
      <c r="D26" s="136"/>
      <c r="E26" s="136"/>
      <c r="F26" s="43"/>
      <c r="G26" s="85">
        <f>(C26+D26+F26)</f>
        <v>0</v>
      </c>
      <c r="H26" s="47"/>
      <c r="I26" s="1"/>
      <c r="J26" s="1"/>
      <c r="K26" s="1"/>
      <c r="L26" s="34"/>
      <c r="M26" s="131"/>
      <c r="N26" s="174"/>
      <c r="O26" s="34"/>
      <c r="P26" s="161"/>
      <c r="Q26" s="34"/>
      <c r="R26" s="31"/>
      <c r="S26" s="34"/>
      <c r="T26" s="34"/>
      <c r="U26" s="34"/>
      <c r="V26" s="34"/>
      <c r="W26" s="36"/>
      <c r="X26" s="76">
        <f t="shared" ref="X26:X29" si="22">+O26+P26+Q26+R26+S26+U26+V26</f>
        <v>0</v>
      </c>
      <c r="Y26" s="35"/>
      <c r="Z26" s="81"/>
      <c r="AA26" s="4"/>
      <c r="AB26" s="4"/>
      <c r="AC26" s="79"/>
      <c r="AD26" s="79"/>
      <c r="AE26" s="79"/>
      <c r="AF26" s="79"/>
      <c r="AG26" s="79"/>
      <c r="AH26" s="82"/>
      <c r="AI26" s="79"/>
      <c r="AJ26" s="79"/>
      <c r="AL26" s="79"/>
    </row>
    <row r="27" spans="1:98" s="7" customFormat="1" ht="36" customHeight="1">
      <c r="A27" s="92">
        <v>11</v>
      </c>
      <c r="B27" s="93" t="s">
        <v>50</v>
      </c>
      <c r="C27" s="94">
        <v>19900</v>
      </c>
      <c r="D27" s="138">
        <v>2</v>
      </c>
      <c r="E27" s="133">
        <f t="shared" ref="E27:E28" si="23">+G27+H27</f>
        <v>31442</v>
      </c>
      <c r="F27" s="76"/>
      <c r="G27" s="76">
        <v>19900</v>
      </c>
      <c r="H27" s="76">
        <f>+G27*58%</f>
        <v>11542</v>
      </c>
      <c r="I27" s="76">
        <v>0</v>
      </c>
      <c r="J27" s="76">
        <v>1000</v>
      </c>
      <c r="K27" s="107">
        <v>1422</v>
      </c>
      <c r="L27" s="76"/>
      <c r="M27" s="131"/>
      <c r="N27" s="174">
        <f>SUM(G27:M27)-0</f>
        <v>33864</v>
      </c>
      <c r="O27" s="76">
        <f t="shared" ref="O27" si="24">(G27+H27)*12%</f>
        <v>3773.04</v>
      </c>
      <c r="P27" s="94">
        <v>0</v>
      </c>
      <c r="Q27" s="94">
        <v>0</v>
      </c>
      <c r="R27" s="76">
        <v>110</v>
      </c>
      <c r="S27" s="94">
        <v>0</v>
      </c>
      <c r="T27" s="232">
        <v>0</v>
      </c>
      <c r="U27" s="94">
        <v>173</v>
      </c>
      <c r="V27" s="94">
        <v>0</v>
      </c>
      <c r="W27" s="27"/>
      <c r="X27" s="76">
        <f>SUM(O27:U27)</f>
        <v>4056.04</v>
      </c>
      <c r="Y27" s="76">
        <f>+N27-X27+0</f>
        <v>29807.96</v>
      </c>
      <c r="Z27" s="81"/>
      <c r="AA27" s="4"/>
      <c r="AB27" s="78"/>
      <c r="AC27" s="78"/>
      <c r="AD27" s="78"/>
      <c r="AE27" s="66"/>
      <c r="AF27" s="66"/>
      <c r="AG27" s="79"/>
      <c r="AH27" s="82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</row>
    <row r="28" spans="1:98" s="7" customFormat="1" ht="36" customHeight="1">
      <c r="A28" s="92">
        <v>12</v>
      </c>
      <c r="B28" s="93" t="s">
        <v>25</v>
      </c>
      <c r="C28" s="94">
        <v>54600</v>
      </c>
      <c r="D28" s="138">
        <v>2</v>
      </c>
      <c r="E28" s="133">
        <f t="shared" si="23"/>
        <v>86268</v>
      </c>
      <c r="F28" s="76"/>
      <c r="G28" s="76">
        <f t="shared" ref="G28" si="25">+C28</f>
        <v>54600</v>
      </c>
      <c r="H28" s="76">
        <f>+G28*58%</f>
        <v>31667.999999999996</v>
      </c>
      <c r="I28" s="76">
        <v>0</v>
      </c>
      <c r="J28" s="76">
        <v>1000</v>
      </c>
      <c r="K28" s="76">
        <f>(3600)+(3600*58%)</f>
        <v>5688</v>
      </c>
      <c r="L28" s="76"/>
      <c r="M28" s="131"/>
      <c r="N28" s="174">
        <f>SUM(G28:M28)</f>
        <v>92956</v>
      </c>
      <c r="O28" s="76">
        <f t="shared" ref="O28:O37" si="26">(G28+H28)*12%</f>
        <v>10352.16</v>
      </c>
      <c r="P28" s="235">
        <v>0</v>
      </c>
      <c r="Q28" s="94">
        <v>30</v>
      </c>
      <c r="R28" s="76">
        <v>110</v>
      </c>
      <c r="S28" s="94">
        <v>0</v>
      </c>
      <c r="T28" s="94"/>
      <c r="U28" s="94">
        <f>173*2</f>
        <v>346</v>
      </c>
      <c r="V28" s="94">
        <v>0</v>
      </c>
      <c r="W28" s="27"/>
      <c r="X28" s="76">
        <f>SUM(O28:U28)</f>
        <v>10838.16</v>
      </c>
      <c r="Y28" s="76">
        <f t="shared" ref="Y28" si="27">+N28-X28</f>
        <v>82117.84</v>
      </c>
      <c r="Z28" s="81"/>
      <c r="AA28" s="91"/>
      <c r="AB28" s="91"/>
      <c r="AC28" s="78"/>
      <c r="AD28" s="79"/>
      <c r="AE28" s="66"/>
      <c r="AF28" s="66"/>
      <c r="AG28" s="23"/>
      <c r="AH28" s="230"/>
      <c r="AI28" s="23"/>
      <c r="AJ28" s="79"/>
      <c r="AK28" s="79"/>
      <c r="AL28" s="79"/>
      <c r="AM28" s="79"/>
      <c r="AN28" s="79"/>
      <c r="AO28" s="79"/>
      <c r="AP28" s="23"/>
      <c r="AQ28" s="79"/>
      <c r="AR28" s="79"/>
      <c r="AS28" s="79"/>
      <c r="AT28" s="79"/>
    </row>
    <row r="29" spans="1:98" s="7" customFormat="1" ht="36" customHeight="1">
      <c r="A29" s="25"/>
      <c r="B29" s="43" t="s">
        <v>47</v>
      </c>
      <c r="C29" s="47"/>
      <c r="D29" s="136"/>
      <c r="E29" s="136"/>
      <c r="F29" s="43"/>
      <c r="G29" s="88"/>
      <c r="H29" s="47"/>
      <c r="I29" s="1"/>
      <c r="J29" s="1"/>
      <c r="K29" s="1"/>
      <c r="L29" s="34"/>
      <c r="M29" s="34"/>
      <c r="N29" s="174"/>
      <c r="O29" s="34"/>
      <c r="P29" s="179"/>
      <c r="Q29" s="34"/>
      <c r="R29" s="76"/>
      <c r="S29" s="34"/>
      <c r="T29" s="34"/>
      <c r="U29" s="34"/>
      <c r="V29" s="34"/>
      <c r="W29" s="36"/>
      <c r="X29" s="76">
        <f t="shared" si="22"/>
        <v>0</v>
      </c>
      <c r="Y29" s="35"/>
      <c r="Z29" s="81"/>
      <c r="AA29" s="4"/>
      <c r="AB29" s="78"/>
      <c r="AC29" s="79"/>
      <c r="AD29" s="79"/>
      <c r="AE29" s="79"/>
      <c r="AF29" s="79"/>
      <c r="AG29" s="79"/>
      <c r="AH29" s="82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</row>
    <row r="30" spans="1:98" s="7" customFormat="1" ht="36" customHeight="1">
      <c r="A30" s="70">
        <f>+A28+1</f>
        <v>13</v>
      </c>
      <c r="B30" s="80" t="s">
        <v>31</v>
      </c>
      <c r="C30" s="76">
        <v>47600</v>
      </c>
      <c r="D30" s="133">
        <v>6</v>
      </c>
      <c r="E30" s="133">
        <f t="shared" ref="E30:E37" si="28">+G30+H30</f>
        <v>75208</v>
      </c>
      <c r="F30" s="76"/>
      <c r="G30" s="76">
        <f t="shared" ref="G30:G37" si="29">+C30</f>
        <v>47600</v>
      </c>
      <c r="H30" s="76">
        <f>+G30*58%</f>
        <v>27607.999999999996</v>
      </c>
      <c r="I30" s="76">
        <v>0</v>
      </c>
      <c r="J30" s="76">
        <v>1000</v>
      </c>
      <c r="K30" s="107">
        <f>(1800)+(1800*58%)</f>
        <v>2844</v>
      </c>
      <c r="L30" s="76"/>
      <c r="M30" s="131"/>
      <c r="N30" s="174">
        <f t="shared" ref="N30:N33" si="30">SUM(G30:M30)</f>
        <v>79052</v>
      </c>
      <c r="O30" s="76">
        <f t="shared" si="26"/>
        <v>9024.9599999999991</v>
      </c>
      <c r="P30" s="161">
        <v>0</v>
      </c>
      <c r="Q30" s="153">
        <v>0</v>
      </c>
      <c r="R30" s="76">
        <v>110</v>
      </c>
      <c r="S30" s="76"/>
      <c r="T30" s="76"/>
      <c r="U30" s="76">
        <v>206</v>
      </c>
      <c r="V30" s="76"/>
      <c r="W30" s="27"/>
      <c r="X30" s="76">
        <f t="shared" ref="X30:X37" si="31">SUM(O30:U30)</f>
        <v>9340.9599999999991</v>
      </c>
      <c r="Y30" s="76">
        <f t="shared" ref="Y30:Y33" si="32">+N30-X30</f>
        <v>69711.040000000008</v>
      </c>
      <c r="Z30" s="81"/>
      <c r="AA30" s="4"/>
      <c r="AB30" s="78"/>
      <c r="AC30" s="78"/>
      <c r="AD30" s="78"/>
      <c r="AE30" s="66"/>
      <c r="AF30" s="66"/>
      <c r="AG30" s="79"/>
      <c r="AH30" s="82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</row>
    <row r="31" spans="1:98" s="7" customFormat="1" ht="36" customHeight="1">
      <c r="A31" s="95">
        <f>+A30+1</f>
        <v>14</v>
      </c>
      <c r="B31" s="80" t="s">
        <v>22</v>
      </c>
      <c r="C31" s="76">
        <v>47600</v>
      </c>
      <c r="D31" s="133">
        <v>6</v>
      </c>
      <c r="E31" s="133">
        <f t="shared" si="28"/>
        <v>75208</v>
      </c>
      <c r="F31" s="76"/>
      <c r="G31" s="76">
        <f t="shared" si="29"/>
        <v>47600</v>
      </c>
      <c r="H31" s="76">
        <f>+G31*58%</f>
        <v>27607.999999999996</v>
      </c>
      <c r="I31" s="76">
        <v>0</v>
      </c>
      <c r="J31" s="76">
        <v>1000</v>
      </c>
      <c r="K31" s="107">
        <f>(1800)+(1800*58%)</f>
        <v>2844</v>
      </c>
      <c r="L31" s="76"/>
      <c r="M31" s="131"/>
      <c r="N31" s="174">
        <f t="shared" si="30"/>
        <v>79052</v>
      </c>
      <c r="O31" s="76">
        <f t="shared" si="26"/>
        <v>9024.9599999999991</v>
      </c>
      <c r="P31" s="161">
        <v>0</v>
      </c>
      <c r="Q31" s="153">
        <v>0</v>
      </c>
      <c r="R31" s="76">
        <v>110</v>
      </c>
      <c r="S31" s="76"/>
      <c r="T31" s="76"/>
      <c r="U31" s="76">
        <v>206</v>
      </c>
      <c r="V31" s="76"/>
      <c r="W31" s="27"/>
      <c r="X31" s="76">
        <f t="shared" si="31"/>
        <v>9340.9599999999991</v>
      </c>
      <c r="Y31" s="76">
        <f t="shared" si="32"/>
        <v>69711.040000000008</v>
      </c>
      <c r="Z31" s="81"/>
      <c r="AA31" s="78"/>
      <c r="AB31" s="78"/>
      <c r="AC31" s="78"/>
      <c r="AD31" s="78"/>
      <c r="AE31" s="66"/>
      <c r="AF31" s="66"/>
      <c r="AG31" s="79"/>
      <c r="AH31" s="82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</row>
    <row r="32" spans="1:98" s="7" customFormat="1" ht="37.5" customHeight="1">
      <c r="A32" s="152">
        <f t="shared" ref="A32:A33" si="33">+A31+1</f>
        <v>15</v>
      </c>
      <c r="B32" s="80" t="s">
        <v>34</v>
      </c>
      <c r="C32" s="76">
        <v>46200</v>
      </c>
      <c r="D32" s="133">
        <v>6</v>
      </c>
      <c r="E32" s="133">
        <f t="shared" si="28"/>
        <v>72996</v>
      </c>
      <c r="F32" s="76"/>
      <c r="G32" s="76">
        <f t="shared" si="29"/>
        <v>46200</v>
      </c>
      <c r="H32" s="76">
        <f>+G32*58%</f>
        <v>26795.999999999996</v>
      </c>
      <c r="I32" s="76">
        <v>0</v>
      </c>
      <c r="J32" s="76">
        <v>1000</v>
      </c>
      <c r="K32" s="107">
        <f>(1800)+(1800*58%)</f>
        <v>2844</v>
      </c>
      <c r="L32" s="76"/>
      <c r="M32" s="131"/>
      <c r="N32" s="174">
        <f t="shared" si="30"/>
        <v>76840</v>
      </c>
      <c r="O32" s="76">
        <f t="shared" si="26"/>
        <v>8759.52</v>
      </c>
      <c r="P32" s="161">
        <v>0</v>
      </c>
      <c r="Q32" s="153">
        <v>0</v>
      </c>
      <c r="R32" s="76">
        <v>110</v>
      </c>
      <c r="S32" s="76"/>
      <c r="T32" s="76"/>
      <c r="U32" s="76">
        <v>206</v>
      </c>
      <c r="V32" s="76"/>
      <c r="W32" s="27"/>
      <c r="X32" s="76">
        <f t="shared" si="31"/>
        <v>9075.52</v>
      </c>
      <c r="Y32" s="76">
        <f t="shared" si="32"/>
        <v>67764.479999999996</v>
      </c>
      <c r="Z32" s="81"/>
      <c r="AA32" s="78"/>
      <c r="AB32" s="78"/>
      <c r="AC32" s="78"/>
      <c r="AD32" s="78"/>
      <c r="AE32" s="66"/>
      <c r="AF32" s="66"/>
      <c r="AG32" s="79"/>
      <c r="AH32" s="82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</row>
    <row r="33" spans="1:98" s="7" customFormat="1" ht="36" customHeight="1">
      <c r="A33" s="97">
        <f t="shared" si="33"/>
        <v>16</v>
      </c>
      <c r="B33" s="96" t="s">
        <v>26</v>
      </c>
      <c r="C33" s="76">
        <v>46200</v>
      </c>
      <c r="D33" s="133">
        <v>6</v>
      </c>
      <c r="E33" s="133">
        <f t="shared" si="28"/>
        <v>72996</v>
      </c>
      <c r="F33" s="76"/>
      <c r="G33" s="76">
        <f t="shared" si="29"/>
        <v>46200</v>
      </c>
      <c r="H33" s="76">
        <f>+G33*58%</f>
        <v>26795.999999999996</v>
      </c>
      <c r="I33" s="76">
        <v>0</v>
      </c>
      <c r="J33" s="76">
        <v>1000</v>
      </c>
      <c r="K33" s="107">
        <f>(1800)+(1800*58%)</f>
        <v>2844</v>
      </c>
      <c r="L33" s="76"/>
      <c r="M33" s="131"/>
      <c r="N33" s="174">
        <f t="shared" si="30"/>
        <v>76840</v>
      </c>
      <c r="O33" s="76">
        <f t="shared" si="26"/>
        <v>8759.52</v>
      </c>
      <c r="P33" s="161">
        <v>0</v>
      </c>
      <c r="Q33" s="153">
        <v>0</v>
      </c>
      <c r="R33" s="76">
        <v>110</v>
      </c>
      <c r="S33" s="76"/>
      <c r="T33" s="76"/>
      <c r="U33" s="76">
        <v>206</v>
      </c>
      <c r="V33" s="76"/>
      <c r="W33" s="27"/>
      <c r="X33" s="76">
        <f t="shared" si="31"/>
        <v>9075.52</v>
      </c>
      <c r="Y33" s="76">
        <f t="shared" si="32"/>
        <v>67764.479999999996</v>
      </c>
      <c r="Z33" s="81"/>
      <c r="AA33" s="78"/>
      <c r="AB33" s="78"/>
      <c r="AC33" s="78"/>
      <c r="AD33" s="78"/>
      <c r="AE33" s="66"/>
      <c r="AF33" s="66"/>
      <c r="AG33" s="79"/>
      <c r="AH33" s="82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</row>
    <row r="34" spans="1:98" s="21" customFormat="1" ht="36" customHeight="1" thickBot="1">
      <c r="A34" s="73"/>
      <c r="B34" s="168"/>
      <c r="C34" s="200">
        <f>SUM(C25:C33)</f>
        <v>332100</v>
      </c>
      <c r="D34" s="190"/>
      <c r="E34" s="190"/>
      <c r="F34" s="189">
        <f t="shared" ref="F34:P34" si="34">+F25+F27+F28+F30+F31+F32+F33</f>
        <v>0</v>
      </c>
      <c r="G34" s="189">
        <f t="shared" si="34"/>
        <v>332100</v>
      </c>
      <c r="H34" s="189">
        <f t="shared" si="34"/>
        <v>192618</v>
      </c>
      <c r="I34" s="189">
        <f t="shared" si="34"/>
        <v>14000</v>
      </c>
      <c r="J34" s="189">
        <f t="shared" si="34"/>
        <v>7000</v>
      </c>
      <c r="K34" s="189">
        <f t="shared" si="34"/>
        <v>21330</v>
      </c>
      <c r="L34" s="189">
        <f t="shared" si="34"/>
        <v>0</v>
      </c>
      <c r="M34" s="189">
        <f t="shared" si="34"/>
        <v>0</v>
      </c>
      <c r="N34" s="191">
        <f t="shared" si="34"/>
        <v>567048</v>
      </c>
      <c r="O34" s="189">
        <f>+O25+O27+O28+O30+O31+O32+O33+1</f>
        <v>62967.16</v>
      </c>
      <c r="P34" s="189">
        <f t="shared" si="34"/>
        <v>11000</v>
      </c>
      <c r="Q34" s="189">
        <f>+Q25+Q27+Q28+Q30+Q31+Q32+Q33</f>
        <v>60</v>
      </c>
      <c r="R34" s="189">
        <f>+R25+R27+R28+R30+R31+R32+R33</f>
        <v>770</v>
      </c>
      <c r="S34" s="189">
        <f>+S25+S27+S28+S30+S31+S32+S33</f>
        <v>0</v>
      </c>
      <c r="T34" s="189">
        <f>SUM(T24:T33)</f>
        <v>0</v>
      </c>
      <c r="U34" s="189">
        <f>+U25+U27+U28+U30+U31+U32+U33</f>
        <v>1343</v>
      </c>
      <c r="V34" s="189">
        <f>+V25+V27+V28+V30+V31+V32+V33</f>
        <v>0</v>
      </c>
      <c r="W34" s="189"/>
      <c r="X34" s="189">
        <f>+X25+X27+X28+X30+X31+X32+X33+1</f>
        <v>76140.160000000003</v>
      </c>
      <c r="Y34" s="189">
        <f>SUM(Y24:Y33)-1</f>
        <v>490907.83999999997</v>
      </c>
      <c r="Z34" s="39"/>
      <c r="AA34" s="40"/>
      <c r="AB34" s="4"/>
      <c r="AC34" s="79"/>
      <c r="AD34" s="79"/>
      <c r="AE34" s="79"/>
      <c r="AF34" s="79"/>
      <c r="AG34" s="40"/>
      <c r="AH34" s="82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</row>
    <row r="35" spans="1:98" s="7" customFormat="1" ht="36" customHeight="1">
      <c r="A35" s="74">
        <v>17</v>
      </c>
      <c r="B35" s="80" t="s">
        <v>24</v>
      </c>
      <c r="C35" s="31">
        <v>46200</v>
      </c>
      <c r="D35" s="198">
        <v>6</v>
      </c>
      <c r="E35" s="133">
        <f t="shared" si="28"/>
        <v>72996</v>
      </c>
      <c r="F35" s="31"/>
      <c r="G35" s="31">
        <f t="shared" si="29"/>
        <v>46200</v>
      </c>
      <c r="H35" s="76">
        <f>+G35*58%</f>
        <v>26795.999999999996</v>
      </c>
      <c r="I35" s="31">
        <v>0</v>
      </c>
      <c r="J35" s="31">
        <v>1000</v>
      </c>
      <c r="K35" s="107">
        <f>(1800)+(1800*58%)</f>
        <v>2844</v>
      </c>
      <c r="L35" s="31"/>
      <c r="M35" s="31">
        <v>0</v>
      </c>
      <c r="N35" s="183">
        <f t="shared" ref="N35" si="35">SUM(G35:M35)</f>
        <v>76840</v>
      </c>
      <c r="O35" s="31">
        <f t="shared" si="26"/>
        <v>8759.52</v>
      </c>
      <c r="P35" s="199">
        <v>0</v>
      </c>
      <c r="Q35" s="31">
        <v>0</v>
      </c>
      <c r="R35" s="31">
        <v>110</v>
      </c>
      <c r="S35" s="31"/>
      <c r="T35" s="31"/>
      <c r="U35" s="31">
        <v>206</v>
      </c>
      <c r="V35" s="31"/>
      <c r="W35" s="32"/>
      <c r="X35" s="76">
        <f t="shared" si="31"/>
        <v>9075.52</v>
      </c>
      <c r="Y35" s="31">
        <f t="shared" ref="Y35:Y37" si="36">+N35-X35</f>
        <v>67764.479999999996</v>
      </c>
      <c r="Z35" s="81"/>
      <c r="AA35" s="78"/>
      <c r="AB35" s="4"/>
      <c r="AC35" s="78"/>
      <c r="AD35" s="78"/>
      <c r="AE35" s="66"/>
      <c r="AF35" s="66"/>
      <c r="AG35" s="79"/>
      <c r="AH35" s="82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</row>
    <row r="36" spans="1:98" s="7" customFormat="1" ht="37.5" customHeight="1">
      <c r="A36" s="178">
        <v>18</v>
      </c>
      <c r="B36" s="80" t="s">
        <v>52</v>
      </c>
      <c r="C36" s="76">
        <v>50500</v>
      </c>
      <c r="D36" s="133">
        <v>7</v>
      </c>
      <c r="E36" s="133">
        <f t="shared" si="28"/>
        <v>79790</v>
      </c>
      <c r="F36" s="1"/>
      <c r="G36" s="85">
        <f t="shared" si="29"/>
        <v>50500</v>
      </c>
      <c r="H36" s="76">
        <f>+G36*58%</f>
        <v>29289.999999999996</v>
      </c>
      <c r="I36" s="76">
        <v>0</v>
      </c>
      <c r="J36" s="76">
        <v>1000</v>
      </c>
      <c r="K36" s="76">
        <f>(3600)+(3600*58%)</f>
        <v>5688</v>
      </c>
      <c r="L36" s="76"/>
      <c r="M36" s="76">
        <v>0</v>
      </c>
      <c r="N36" s="174">
        <f>SUM(G36:M36)</f>
        <v>86478</v>
      </c>
      <c r="O36" s="76">
        <f t="shared" si="26"/>
        <v>9574.7999999999993</v>
      </c>
      <c r="P36" s="180">
        <v>0</v>
      </c>
      <c r="Q36" s="76">
        <v>0</v>
      </c>
      <c r="R36" s="76">
        <v>110</v>
      </c>
      <c r="S36" s="76">
        <v>0</v>
      </c>
      <c r="T36" s="76"/>
      <c r="U36" s="76">
        <v>206</v>
      </c>
      <c r="V36" s="1"/>
      <c r="W36" s="27"/>
      <c r="X36" s="76">
        <f t="shared" si="31"/>
        <v>9890.7999999999993</v>
      </c>
      <c r="Y36" s="76">
        <f t="shared" si="36"/>
        <v>76587.199999999997</v>
      </c>
      <c r="Z36" s="81"/>
      <c r="AA36" s="4"/>
      <c r="AB36" s="4"/>
      <c r="AC36" s="78"/>
      <c r="AD36" s="68"/>
      <c r="AE36" s="66"/>
      <c r="AF36" s="66"/>
      <c r="AG36" s="79"/>
      <c r="AH36" s="82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</row>
    <row r="37" spans="1:98" s="7" customFormat="1" ht="36" customHeight="1">
      <c r="A37" s="178">
        <v>19</v>
      </c>
      <c r="B37" s="80" t="s">
        <v>51</v>
      </c>
      <c r="C37" s="76">
        <v>39900</v>
      </c>
      <c r="D37" s="133">
        <v>6</v>
      </c>
      <c r="E37" s="133">
        <f t="shared" si="28"/>
        <v>63042</v>
      </c>
      <c r="F37" s="1"/>
      <c r="G37" s="85">
        <f t="shared" si="29"/>
        <v>39900</v>
      </c>
      <c r="H37" s="76">
        <f>+G37*58%</f>
        <v>23142</v>
      </c>
      <c r="I37" s="76">
        <v>0</v>
      </c>
      <c r="J37" s="76">
        <v>1000</v>
      </c>
      <c r="K37" s="107">
        <f>(1800)+(1800*58%)</f>
        <v>2844</v>
      </c>
      <c r="L37" s="76"/>
      <c r="M37" s="131"/>
      <c r="N37" s="174">
        <f>SUM(G37:M37)</f>
        <v>66886</v>
      </c>
      <c r="O37" s="76">
        <f t="shared" si="26"/>
        <v>7565.04</v>
      </c>
      <c r="P37" s="161">
        <v>0</v>
      </c>
      <c r="Q37" s="76">
        <v>0</v>
      </c>
      <c r="R37" s="76">
        <v>110</v>
      </c>
      <c r="S37" s="76">
        <v>0</v>
      </c>
      <c r="T37" s="76"/>
      <c r="U37" s="76">
        <v>206</v>
      </c>
      <c r="V37" s="1"/>
      <c r="W37" s="27"/>
      <c r="X37" s="76">
        <f t="shared" si="31"/>
        <v>7881.04</v>
      </c>
      <c r="Y37" s="76">
        <f t="shared" si="36"/>
        <v>59004.959999999999</v>
      </c>
      <c r="Z37" s="81"/>
      <c r="AA37" s="4"/>
      <c r="AB37" s="4"/>
      <c r="AC37" s="78"/>
      <c r="AD37" s="78"/>
      <c r="AE37" s="66"/>
      <c r="AF37" s="66"/>
      <c r="AG37" s="79"/>
      <c r="AH37" s="82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</row>
    <row r="38" spans="1:98" s="21" customFormat="1" ht="36" customHeight="1">
      <c r="A38" s="58"/>
      <c r="B38" s="117" t="s">
        <v>35</v>
      </c>
      <c r="C38" s="72"/>
      <c r="D38" s="139"/>
      <c r="E38" s="139"/>
      <c r="F38" s="59"/>
      <c r="G38" s="85"/>
      <c r="H38" s="59"/>
      <c r="I38" s="59"/>
      <c r="J38" s="59"/>
      <c r="K38" s="59"/>
      <c r="L38" s="59"/>
      <c r="M38" s="59"/>
      <c r="N38" s="174"/>
      <c r="O38" s="76"/>
      <c r="P38" s="171"/>
      <c r="Q38" s="77"/>
      <c r="R38" s="76"/>
      <c r="S38" s="77"/>
      <c r="T38" s="77"/>
      <c r="U38" s="77"/>
      <c r="V38" s="77"/>
      <c r="W38" s="77"/>
      <c r="X38" s="76"/>
      <c r="Y38" s="77"/>
      <c r="Z38" s="49"/>
      <c r="AA38" s="40"/>
      <c r="AB38" s="78"/>
      <c r="AC38" s="79"/>
      <c r="AD38" s="79"/>
      <c r="AE38" s="79"/>
      <c r="AF38" s="79"/>
      <c r="AG38" s="40"/>
      <c r="AH38" s="82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</row>
    <row r="39" spans="1:98" s="21" customFormat="1" ht="36" hidden="1" customHeight="1">
      <c r="A39" s="58"/>
      <c r="B39" s="147"/>
      <c r="C39" s="72"/>
      <c r="D39" s="139"/>
      <c r="E39" s="139"/>
      <c r="F39" s="59"/>
      <c r="G39" s="85"/>
      <c r="H39" s="76"/>
      <c r="I39" s="76"/>
      <c r="J39" s="76"/>
      <c r="K39" s="76"/>
      <c r="L39" s="76"/>
      <c r="M39" s="76"/>
      <c r="N39" s="174"/>
      <c r="O39" s="76"/>
      <c r="P39" s="155"/>
      <c r="Q39" s="76"/>
      <c r="R39" s="76"/>
      <c r="S39" s="76"/>
      <c r="T39" s="76"/>
      <c r="U39" s="76"/>
      <c r="V39" s="76"/>
      <c r="W39" s="27"/>
      <c r="X39" s="76"/>
      <c r="Y39" s="76"/>
      <c r="Z39" s="49"/>
      <c r="AA39" s="40"/>
      <c r="AB39" s="78"/>
      <c r="AC39" s="79"/>
      <c r="AD39" s="79"/>
      <c r="AE39" s="79"/>
      <c r="AF39" s="79"/>
      <c r="AG39" s="40"/>
      <c r="AH39" s="82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</row>
    <row r="40" spans="1:98" s="21" customFormat="1" ht="36" hidden="1" customHeight="1">
      <c r="A40" s="58"/>
      <c r="B40" s="148"/>
      <c r="C40" s="72">
        <v>0</v>
      </c>
      <c r="D40" s="139"/>
      <c r="E40" s="133">
        <f>+G40+H40</f>
        <v>0</v>
      </c>
      <c r="F40" s="59"/>
      <c r="G40" s="85">
        <f>+C40</f>
        <v>0</v>
      </c>
      <c r="H40" s="76">
        <v>0</v>
      </c>
      <c r="I40" s="76">
        <v>0</v>
      </c>
      <c r="J40" s="76">
        <v>0</v>
      </c>
      <c r="K40" s="76">
        <v>0</v>
      </c>
      <c r="L40" s="76"/>
      <c r="M40" s="76">
        <v>0</v>
      </c>
      <c r="N40" s="174">
        <f>+C40</f>
        <v>0</v>
      </c>
      <c r="O40" s="76">
        <f>+C40*12%</f>
        <v>0</v>
      </c>
      <c r="P40" s="155"/>
      <c r="Q40" s="76">
        <v>0</v>
      </c>
      <c r="R40" s="76"/>
      <c r="S40" s="76">
        <v>0</v>
      </c>
      <c r="T40" s="76"/>
      <c r="U40" s="76">
        <v>0</v>
      </c>
      <c r="V40" s="76"/>
      <c r="W40" s="27"/>
      <c r="X40" s="76">
        <f>SUM(O40:W40)</f>
        <v>0</v>
      </c>
      <c r="Y40" s="76">
        <f t="shared" ref="Y40" si="37">+N40-X40</f>
        <v>0</v>
      </c>
      <c r="Z40" s="49"/>
      <c r="AA40" s="40"/>
      <c r="AB40" s="78"/>
      <c r="AC40" s="79"/>
      <c r="AD40" s="79"/>
      <c r="AE40" s="79"/>
      <c r="AF40" s="79"/>
      <c r="AG40" s="40"/>
      <c r="AH40" s="82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</row>
    <row r="41" spans="1:98" s="21" customFormat="1" ht="36" customHeight="1">
      <c r="A41" s="58">
        <v>20</v>
      </c>
      <c r="B41" s="168" t="s">
        <v>45</v>
      </c>
      <c r="C41" s="72">
        <f>25000/30*28</f>
        <v>23333.333333333336</v>
      </c>
      <c r="D41" s="139"/>
      <c r="E41" s="133">
        <f>+G41</f>
        <v>23333.333333333336</v>
      </c>
      <c r="F41" s="59"/>
      <c r="G41" s="85">
        <f>+C41</f>
        <v>23333.333333333336</v>
      </c>
      <c r="H41" s="76"/>
      <c r="I41" s="76"/>
      <c r="J41" s="76"/>
      <c r="K41" s="76"/>
      <c r="L41" s="76"/>
      <c r="M41" s="76"/>
      <c r="N41" s="174">
        <f>+C41</f>
        <v>23333.333333333336</v>
      </c>
      <c r="O41" s="76">
        <f>+G41*0.12</f>
        <v>2800</v>
      </c>
      <c r="P41" s="161">
        <v>0</v>
      </c>
      <c r="Q41" s="76">
        <v>0</v>
      </c>
      <c r="R41" s="76">
        <v>110</v>
      </c>
      <c r="S41" s="76"/>
      <c r="T41" s="76"/>
      <c r="U41" s="76">
        <v>0</v>
      </c>
      <c r="V41" s="76"/>
      <c r="W41" s="27"/>
      <c r="X41" s="76">
        <f t="shared" ref="X41" si="38">SUM(O41:U41)</f>
        <v>2910</v>
      </c>
      <c r="Y41" s="76">
        <f>+N41-X41</f>
        <v>20423.333333333336</v>
      </c>
      <c r="Z41" s="49"/>
      <c r="AA41" s="40"/>
      <c r="AB41" s="78"/>
      <c r="AC41" s="79"/>
      <c r="AD41" s="79"/>
      <c r="AE41" s="79"/>
      <c r="AF41" s="79"/>
      <c r="AG41" s="40"/>
      <c r="AH41" s="82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</row>
    <row r="42" spans="1:98" s="21" customFormat="1" ht="36" hidden="1" customHeight="1">
      <c r="A42" s="156"/>
      <c r="B42" s="148"/>
      <c r="C42" s="72"/>
      <c r="D42" s="139"/>
      <c r="E42" s="133"/>
      <c r="F42" s="59"/>
      <c r="G42" s="85"/>
      <c r="H42" s="76"/>
      <c r="I42" s="76"/>
      <c r="J42" s="76"/>
      <c r="K42" s="76"/>
      <c r="L42" s="76"/>
      <c r="M42" s="76"/>
      <c r="N42" s="174"/>
      <c r="O42" s="76"/>
      <c r="P42" s="165"/>
      <c r="Q42" s="76"/>
      <c r="R42" s="76"/>
      <c r="S42" s="76"/>
      <c r="T42" s="76"/>
      <c r="U42" s="76"/>
      <c r="V42" s="76"/>
      <c r="W42" s="27"/>
      <c r="X42" s="76"/>
      <c r="Y42" s="76"/>
      <c r="Z42" s="49"/>
      <c r="AA42" s="40"/>
      <c r="AB42" s="78"/>
      <c r="AC42" s="79"/>
      <c r="AD42" s="79"/>
      <c r="AE42" s="79"/>
      <c r="AF42" s="79"/>
      <c r="AG42" s="40"/>
      <c r="AH42" s="82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</row>
    <row r="43" spans="1:98" s="21" customFormat="1" ht="36" hidden="1" customHeight="1">
      <c r="A43" s="58"/>
      <c r="B43" s="148"/>
      <c r="C43" s="72"/>
      <c r="D43" s="139"/>
      <c r="E43" s="133"/>
      <c r="F43" s="59"/>
      <c r="G43" s="85"/>
      <c r="H43" s="76"/>
      <c r="I43" s="76"/>
      <c r="J43" s="76"/>
      <c r="K43" s="76"/>
      <c r="L43" s="76"/>
      <c r="M43" s="76"/>
      <c r="N43" s="174"/>
      <c r="O43" s="76"/>
      <c r="P43" s="164"/>
      <c r="Q43" s="76"/>
      <c r="R43" s="76"/>
      <c r="S43" s="76"/>
      <c r="T43" s="76"/>
      <c r="U43" s="76"/>
      <c r="V43" s="76"/>
      <c r="W43" s="27"/>
      <c r="X43" s="76"/>
      <c r="Y43" s="76"/>
      <c r="Z43" s="49"/>
      <c r="AA43" s="40"/>
      <c r="AB43" s="78"/>
      <c r="AC43" s="79"/>
      <c r="AD43" s="79"/>
      <c r="AE43" s="79"/>
      <c r="AF43" s="79"/>
      <c r="AG43" s="40"/>
      <c r="AH43" s="82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</row>
    <row r="44" spans="1:98" s="21" customFormat="1" ht="30.75" hidden="1" customHeight="1">
      <c r="A44" s="74"/>
      <c r="B44" s="60"/>
      <c r="C44" s="47"/>
      <c r="D44" s="136"/>
      <c r="E44" s="136"/>
      <c r="F44" s="43"/>
      <c r="G44" s="88"/>
      <c r="H44" s="47"/>
      <c r="I44" s="49"/>
      <c r="J44" s="49"/>
      <c r="K44" s="49"/>
      <c r="L44" s="49"/>
      <c r="M44" s="49"/>
      <c r="N44" s="186"/>
      <c r="O44" s="49"/>
      <c r="P44" s="166"/>
      <c r="Q44" s="49"/>
      <c r="R44" s="76"/>
      <c r="S44" s="49"/>
      <c r="T44" s="49"/>
      <c r="U44" s="49"/>
      <c r="V44" s="49"/>
      <c r="W44" s="61"/>
      <c r="X44" s="76"/>
      <c r="Y44" s="57"/>
      <c r="Z44" s="34"/>
      <c r="AA44" s="40"/>
      <c r="AB44" s="78"/>
      <c r="AC44" s="79"/>
      <c r="AD44" s="79"/>
      <c r="AE44" s="79"/>
      <c r="AF44" s="79"/>
      <c r="AG44" s="40"/>
      <c r="AH44" s="82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</row>
    <row r="45" spans="1:98" s="7" customFormat="1" ht="33" hidden="1" customHeight="1">
      <c r="A45" s="70"/>
      <c r="B45" s="118"/>
      <c r="C45" s="76"/>
      <c r="D45" s="62"/>
      <c r="E45" s="62"/>
      <c r="F45" s="1"/>
      <c r="G45" s="85"/>
      <c r="H45" s="76"/>
      <c r="I45" s="76"/>
      <c r="J45" s="76"/>
      <c r="K45" s="76"/>
      <c r="L45" s="76"/>
      <c r="M45" s="76"/>
      <c r="N45" s="174"/>
      <c r="O45" s="76"/>
      <c r="P45" s="163"/>
      <c r="Q45" s="76"/>
      <c r="R45" s="76"/>
      <c r="S45" s="1"/>
      <c r="T45" s="76"/>
      <c r="U45" s="1"/>
      <c r="V45" s="1"/>
      <c r="W45" s="27"/>
      <c r="X45" s="76"/>
      <c r="Y45" s="1"/>
      <c r="Z45" s="28"/>
      <c r="AA45" s="4"/>
      <c r="AB45" s="78"/>
      <c r="AC45" s="79"/>
      <c r="AD45" s="79"/>
      <c r="AE45" s="79"/>
      <c r="AF45" s="79"/>
      <c r="AG45" s="79"/>
      <c r="AH45" s="82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</row>
    <row r="46" spans="1:98" s="7" customFormat="1" ht="24.75" hidden="1" customHeight="1">
      <c r="A46" s="70"/>
      <c r="B46" s="80"/>
      <c r="C46" s="76"/>
      <c r="D46" s="62"/>
      <c r="E46" s="62"/>
      <c r="F46" s="1"/>
      <c r="G46" s="85">
        <f t="shared" ref="G46" si="39">SUM(C46:F46)</f>
        <v>0</v>
      </c>
      <c r="H46" s="76">
        <f t="shared" ref="H46" si="40">+G46*34%</f>
        <v>0</v>
      </c>
      <c r="I46" s="1"/>
      <c r="J46" s="1"/>
      <c r="K46" s="1"/>
      <c r="L46" s="76"/>
      <c r="M46" s="1"/>
      <c r="N46" s="174">
        <f t="shared" ref="N46" si="41">SUM(G46:M46)</f>
        <v>0</v>
      </c>
      <c r="O46" s="76"/>
      <c r="P46" s="163"/>
      <c r="Q46" s="76"/>
      <c r="R46" s="76"/>
      <c r="S46" s="1"/>
      <c r="T46" s="76"/>
      <c r="U46" s="1"/>
      <c r="V46" s="1"/>
      <c r="W46" s="27"/>
      <c r="X46" s="76"/>
      <c r="Y46" s="1"/>
      <c r="Z46" s="28"/>
      <c r="AA46" s="4"/>
      <c r="AB46" s="78"/>
      <c r="AC46" s="79"/>
      <c r="AD46" s="79"/>
      <c r="AE46" s="79"/>
      <c r="AF46" s="79"/>
      <c r="AG46" s="79"/>
      <c r="AH46" s="82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</row>
    <row r="47" spans="1:98" s="120" customFormat="1" ht="36" hidden="1" customHeight="1">
      <c r="A47" s="122"/>
      <c r="B47" s="123"/>
      <c r="C47" s="76"/>
      <c r="D47" s="140"/>
      <c r="E47" s="140"/>
      <c r="F47" s="121"/>
      <c r="G47" s="121"/>
      <c r="H47" s="76"/>
      <c r="I47" s="121"/>
      <c r="J47" s="121"/>
      <c r="K47" s="121"/>
      <c r="L47" s="121"/>
      <c r="M47" s="121"/>
      <c r="N47" s="174"/>
      <c r="O47" s="121"/>
      <c r="P47" s="163"/>
      <c r="Q47" s="76"/>
      <c r="R47" s="121"/>
      <c r="S47" s="121"/>
      <c r="T47" s="121"/>
      <c r="U47" s="121"/>
      <c r="V47" s="121"/>
      <c r="W47" s="121"/>
      <c r="X47" s="121"/>
      <c r="Y47" s="121"/>
      <c r="Z47" s="121"/>
      <c r="AA47" s="124"/>
      <c r="AB47" s="124"/>
      <c r="AC47" s="79"/>
      <c r="AD47" s="79"/>
      <c r="AE47" s="79"/>
      <c r="AF47" s="79"/>
      <c r="AG47" s="79"/>
      <c r="AH47" s="82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</row>
    <row r="48" spans="1:98" s="7" customFormat="1" ht="36" hidden="1" customHeight="1">
      <c r="A48" s="110"/>
      <c r="B48" s="80"/>
      <c r="C48" s="111"/>
      <c r="D48" s="141"/>
      <c r="E48" s="141"/>
      <c r="F48" s="111"/>
      <c r="G48" s="112"/>
      <c r="H48" s="111"/>
      <c r="I48" s="111"/>
      <c r="J48" s="111"/>
      <c r="K48" s="111"/>
      <c r="L48" s="111"/>
      <c r="M48" s="111"/>
      <c r="N48" s="187"/>
      <c r="O48" s="111"/>
      <c r="P48" s="167"/>
      <c r="Q48" s="111"/>
      <c r="R48" s="111"/>
      <c r="S48" s="111"/>
      <c r="T48" s="111"/>
      <c r="U48" s="111"/>
      <c r="V48" s="111"/>
      <c r="W48" s="113"/>
      <c r="X48" s="111"/>
      <c r="Y48" s="111"/>
      <c r="Z48" s="81"/>
      <c r="AA48" s="78"/>
      <c r="AB48" s="78"/>
      <c r="AC48" s="79"/>
      <c r="AD48" s="79"/>
      <c r="AE48" s="79"/>
      <c r="AF48" s="79"/>
      <c r="AG48" s="79"/>
      <c r="AH48" s="82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</row>
    <row r="49" spans="1:98" s="7" customFormat="1" ht="36" hidden="1" customHeight="1">
      <c r="A49" s="115"/>
      <c r="B49" s="80"/>
      <c r="C49" s="111"/>
      <c r="D49" s="141"/>
      <c r="E49" s="141"/>
      <c r="F49" s="111"/>
      <c r="G49" s="112"/>
      <c r="H49" s="111"/>
      <c r="I49" s="111"/>
      <c r="J49" s="111"/>
      <c r="K49" s="111"/>
      <c r="L49" s="111"/>
      <c r="M49" s="111"/>
      <c r="N49" s="187"/>
      <c r="O49" s="111"/>
      <c r="P49" s="167"/>
      <c r="Q49" s="111"/>
      <c r="R49" s="111"/>
      <c r="S49" s="111"/>
      <c r="T49" s="111"/>
      <c r="U49" s="111"/>
      <c r="V49" s="111"/>
      <c r="W49" s="113"/>
      <c r="X49" s="111"/>
      <c r="Y49" s="111"/>
      <c r="Z49" s="81"/>
      <c r="AA49" s="78"/>
      <c r="AB49" s="78"/>
      <c r="AC49" s="79"/>
      <c r="AD49" s="79"/>
      <c r="AE49" s="79"/>
      <c r="AF49" s="79"/>
      <c r="AG49" s="79"/>
      <c r="AH49" s="82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</row>
    <row r="50" spans="1:98" s="41" customFormat="1" ht="36" customHeight="1" thickBot="1">
      <c r="A50" s="42"/>
      <c r="B50" s="103"/>
      <c r="C50" s="201">
        <f>SUM(C35:C43)</f>
        <v>159933.33333333334</v>
      </c>
      <c r="D50" s="202"/>
      <c r="E50" s="202"/>
      <c r="F50" s="201">
        <f t="shared" ref="F50:M50" si="42">+F35+F36+F37+F39+F40+F43+F45+F47</f>
        <v>0</v>
      </c>
      <c r="G50" s="201">
        <f t="shared" ref="G50:K50" si="43">SUM(G35:G43)</f>
        <v>159933.33333333334</v>
      </c>
      <c r="H50" s="201">
        <f t="shared" si="43"/>
        <v>79228</v>
      </c>
      <c r="I50" s="201">
        <f t="shared" si="43"/>
        <v>0</v>
      </c>
      <c r="J50" s="201">
        <f t="shared" si="43"/>
        <v>3000</v>
      </c>
      <c r="K50" s="201">
        <f t="shared" si="43"/>
        <v>11376</v>
      </c>
      <c r="L50" s="201">
        <f t="shared" si="42"/>
        <v>0</v>
      </c>
      <c r="M50" s="201">
        <f t="shared" si="42"/>
        <v>0</v>
      </c>
      <c r="N50" s="191">
        <f>+N35+N36+N37+N39+N40+N43+N45+N47+N41+N42</f>
        <v>253537.33333333334</v>
      </c>
      <c r="O50" s="189">
        <f>SUM(O35:O43)+1</f>
        <v>28700.36</v>
      </c>
      <c r="P50" s="193">
        <f>+P35+P36+P37+P39+P40+P43+P45+P47+P41+P42</f>
        <v>0</v>
      </c>
      <c r="Q50" s="189">
        <f t="shared" ref="Q50:W50" si="44">SUM(Q35:Q43)</f>
        <v>0</v>
      </c>
      <c r="R50" s="189">
        <f t="shared" si="44"/>
        <v>440</v>
      </c>
      <c r="S50" s="189">
        <f t="shared" si="44"/>
        <v>0</v>
      </c>
      <c r="T50" s="189">
        <f t="shared" si="44"/>
        <v>0</v>
      </c>
      <c r="U50" s="189">
        <f t="shared" si="44"/>
        <v>618</v>
      </c>
      <c r="V50" s="189">
        <f t="shared" si="44"/>
        <v>0</v>
      </c>
      <c r="W50" s="189">
        <f t="shared" si="44"/>
        <v>0</v>
      </c>
      <c r="X50" s="189">
        <f>SUM(X35:X43)+1</f>
        <v>29758.36</v>
      </c>
      <c r="Y50" s="189">
        <f>SUM(Y35:Y49)-1</f>
        <v>223778.97333333333</v>
      </c>
      <c r="Z50" s="49"/>
      <c r="AA50" s="40"/>
      <c r="AB50" s="104"/>
      <c r="AC50" s="79"/>
      <c r="AD50" s="79"/>
      <c r="AE50" s="40"/>
      <c r="AF50" s="79"/>
      <c r="AG50" s="40"/>
      <c r="AH50" s="40"/>
      <c r="AI50" s="40"/>
      <c r="AJ50" s="40"/>
      <c r="AK50" s="40"/>
      <c r="AL50" s="79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</row>
    <row r="51" spans="1:98" s="41" customFormat="1" ht="36" hidden="1" customHeight="1">
      <c r="A51" s="42"/>
      <c r="B51" s="49"/>
      <c r="C51" s="52"/>
      <c r="D51" s="205"/>
      <c r="E51" s="205"/>
      <c r="F51" s="52"/>
      <c r="G51" s="206"/>
      <c r="H51" s="207"/>
      <c r="I51" s="52"/>
      <c r="J51" s="52"/>
      <c r="K51" s="52"/>
      <c r="L51" s="52"/>
      <c r="M51" s="52"/>
      <c r="N51" s="208"/>
      <c r="O51" s="52"/>
      <c r="P51" s="209"/>
      <c r="Q51" s="52"/>
      <c r="R51" s="52"/>
      <c r="S51" s="52"/>
      <c r="T51" s="52"/>
      <c r="U51" s="52"/>
      <c r="V51" s="52"/>
      <c r="W51" s="53"/>
      <c r="X51" s="52"/>
      <c r="Y51" s="210"/>
      <c r="Z51" s="49"/>
      <c r="AA51" s="40"/>
      <c r="AB51" s="40"/>
      <c r="AC51" s="79"/>
      <c r="AD51" s="79"/>
      <c r="AE51" s="40"/>
      <c r="AF51" s="79"/>
      <c r="AG51" s="40"/>
      <c r="AH51" s="40"/>
      <c r="AI51" s="40"/>
      <c r="AJ51" s="40"/>
      <c r="AK51" s="40"/>
      <c r="AL51" s="79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5"/>
      <c r="CA51" s="145"/>
      <c r="CB51" s="145"/>
      <c r="CC51" s="145"/>
      <c r="CD51" s="145"/>
      <c r="CE51" s="145"/>
      <c r="CF51" s="145"/>
      <c r="CG51" s="145"/>
      <c r="CH51" s="145"/>
      <c r="CI51" s="145"/>
      <c r="CJ51" s="145"/>
      <c r="CK51" s="145"/>
      <c r="CL51" s="145"/>
      <c r="CM51" s="145"/>
      <c r="CN51" s="145"/>
      <c r="CO51" s="145"/>
      <c r="CP51" s="145"/>
      <c r="CQ51" s="145"/>
      <c r="CR51" s="145"/>
      <c r="CS51" s="145"/>
      <c r="CT51" s="145"/>
    </row>
    <row r="52" spans="1:98" s="63" customFormat="1" ht="36" customHeight="1" thickBot="1">
      <c r="A52" s="62"/>
      <c r="B52" s="203" t="s">
        <v>12</v>
      </c>
      <c r="C52" s="215">
        <f>+C14+C23+C34+C50</f>
        <v>1302940.3333333333</v>
      </c>
      <c r="D52" s="216">
        <f>+D14+D23+D34+D50</f>
        <v>0</v>
      </c>
      <c r="E52" s="66">
        <f>+E41+E37+E36+E35+E33+E32+E31+E30+E28+E27+E25+E22+E21+E19+E18+E17+E13+E11+E9+E7</f>
        <v>2003754.3333333335</v>
      </c>
      <c r="F52" s="217">
        <f>+F14+F23+F34+F50</f>
        <v>0</v>
      </c>
      <c r="G52" s="217">
        <f>+G50+G34+G23+G14+0</f>
        <v>1302940.3333333335</v>
      </c>
      <c r="H52" s="217">
        <f>+H50+H34+H23+H14+0</f>
        <v>700814</v>
      </c>
      <c r="I52" s="217">
        <f t="shared" ref="I52:S52" si="45">+I14+I23+I34+I50</f>
        <v>66100</v>
      </c>
      <c r="J52" s="217">
        <f t="shared" si="45"/>
        <v>18000</v>
      </c>
      <c r="K52" s="217">
        <f t="shared" si="45"/>
        <v>75366</v>
      </c>
      <c r="L52" s="217">
        <f t="shared" si="45"/>
        <v>0</v>
      </c>
      <c r="M52" s="217">
        <f t="shared" si="45"/>
        <v>0</v>
      </c>
      <c r="N52" s="218">
        <f>+N14+N23+N34+N50+0</f>
        <v>2163220.3333333335</v>
      </c>
      <c r="O52" s="226">
        <f>+O14+O23+O34+O50</f>
        <v>240452.52000000002</v>
      </c>
      <c r="P52" s="228">
        <f>+P14+P23+P34+P50</f>
        <v>168500</v>
      </c>
      <c r="Q52" s="217">
        <f t="shared" si="45"/>
        <v>345</v>
      </c>
      <c r="R52" s="219">
        <f t="shared" si="45"/>
        <v>2200</v>
      </c>
      <c r="S52" s="227">
        <f t="shared" si="45"/>
        <v>0</v>
      </c>
      <c r="T52" s="217">
        <f>+T34+T50+T23+T14</f>
        <v>0</v>
      </c>
      <c r="U52" s="217">
        <f>+U14+U23+U34+U50</f>
        <v>3370</v>
      </c>
      <c r="V52" s="217">
        <f>+V14+V23+V34+V50</f>
        <v>0</v>
      </c>
      <c r="W52" s="217"/>
      <c r="X52" s="217">
        <f>+X14+X23+X34+X50</f>
        <v>414867.52</v>
      </c>
      <c r="Y52" s="219">
        <f>+Y14+Y23+Y34+Y50+0</f>
        <v>1748352.8133333332</v>
      </c>
      <c r="Z52" s="204"/>
      <c r="AA52" s="12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6"/>
      <c r="CS52" s="146"/>
      <c r="CT52" s="146"/>
    </row>
    <row r="53" spans="1:98" ht="21" customHeight="1">
      <c r="A53" s="64"/>
      <c r="B53" s="34"/>
      <c r="D53" s="211"/>
      <c r="E53" s="211"/>
      <c r="F53" s="239">
        <f>+G52+H52</f>
        <v>2003754.3333333335</v>
      </c>
      <c r="G53" s="239"/>
      <c r="H53" s="239"/>
      <c r="I53" s="212"/>
      <c r="J53" s="212"/>
      <c r="K53" s="212"/>
      <c r="L53" s="238">
        <f>+L52+M52</f>
        <v>0</v>
      </c>
      <c r="M53" s="238"/>
      <c r="N53" s="213"/>
      <c r="O53" s="30"/>
      <c r="P53" s="30"/>
      <c r="Q53" s="30"/>
      <c r="R53" s="212"/>
      <c r="S53" s="212"/>
      <c r="T53" s="212"/>
      <c r="U53" s="212"/>
      <c r="V53" s="212"/>
      <c r="W53" s="214"/>
      <c r="X53" s="212"/>
      <c r="Y53" s="212"/>
      <c r="Z53" s="65"/>
      <c r="AA53" s="12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</row>
    <row r="54" spans="1:98" s="7" customFormat="1" hidden="1">
      <c r="A54" s="62"/>
      <c r="B54" s="34"/>
      <c r="C54" s="34"/>
      <c r="D54" s="143"/>
      <c r="E54" s="143"/>
      <c r="F54" s="142"/>
      <c r="G54" s="90"/>
      <c r="H54" s="142"/>
      <c r="I54" s="34"/>
      <c r="J54" s="34"/>
      <c r="K54" s="34"/>
      <c r="L54" s="142"/>
      <c r="M54" s="142"/>
      <c r="N54" s="188"/>
      <c r="O54" s="34"/>
      <c r="P54" s="34"/>
      <c r="Q54" s="34"/>
      <c r="R54" s="34"/>
      <c r="S54" s="34"/>
      <c r="T54" s="34"/>
      <c r="U54" s="34"/>
      <c r="V54" s="34"/>
      <c r="W54" s="36"/>
      <c r="X54" s="34"/>
      <c r="Y54" s="34"/>
      <c r="Z54" s="34"/>
      <c r="AA54" s="12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</row>
    <row r="55" spans="1:98" s="99" customFormat="1">
      <c r="A55" s="73">
        <v>21</v>
      </c>
      <c r="B55" s="34" t="s">
        <v>20</v>
      </c>
      <c r="C55" s="220">
        <v>119300</v>
      </c>
      <c r="D55" s="220"/>
      <c r="E55" s="220"/>
      <c r="F55" s="220"/>
      <c r="G55" s="221">
        <f t="shared" ref="G55" si="46">SUM(C55:F55)</f>
        <v>119300</v>
      </c>
      <c r="H55" s="220">
        <f>+G55*58%</f>
        <v>69194</v>
      </c>
      <c r="I55" s="220">
        <f>+G55*20%</f>
        <v>23860</v>
      </c>
      <c r="J55" s="220">
        <v>1000</v>
      </c>
      <c r="K55" s="220">
        <f>(3600)+(3600*58%)</f>
        <v>5688</v>
      </c>
      <c r="L55" s="220">
        <v>0</v>
      </c>
      <c r="M55" s="220">
        <v>0</v>
      </c>
      <c r="N55" s="222">
        <f>SUM(G55:M55)</f>
        <v>219042</v>
      </c>
      <c r="O55" s="220">
        <f>ROUND((G55+H55)*12%,0)</f>
        <v>22619</v>
      </c>
      <c r="P55" s="223"/>
      <c r="Q55" s="220">
        <v>60</v>
      </c>
      <c r="R55" s="220"/>
      <c r="S55" s="220">
        <v>0</v>
      </c>
      <c r="T55" s="220"/>
      <c r="U55" s="220">
        <v>0</v>
      </c>
      <c r="V55" s="220"/>
      <c r="W55" s="224"/>
      <c r="X55" s="220">
        <f>SUM(O55:V55)</f>
        <v>22679</v>
      </c>
      <c r="Y55" s="220">
        <f>+N55-X55-1</f>
        <v>196362</v>
      </c>
      <c r="Z55" s="225"/>
      <c r="AB55" s="7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</row>
    <row r="56" spans="1:98" s="79" customFormat="1" ht="36" customHeight="1">
      <c r="A56" s="78"/>
      <c r="B56" s="67"/>
      <c r="C56" s="68"/>
      <c r="D56" s="68"/>
      <c r="F56" s="78"/>
      <c r="G56" s="68"/>
      <c r="H56" s="68"/>
      <c r="I56" s="78"/>
      <c r="J56" s="68"/>
      <c r="K56" s="68"/>
      <c r="L56" s="78"/>
      <c r="M56" s="68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22"/>
      <c r="AA56" s="78"/>
      <c r="AB56" s="78"/>
      <c r="AH56" s="82"/>
    </row>
    <row r="57" spans="1:98" s="79" customFormat="1" ht="27" customHeight="1">
      <c r="A57" s="71"/>
      <c r="B57" s="67"/>
      <c r="C57" s="78">
        <f>806.451612903226*4</f>
        <v>3225.8064516129039</v>
      </c>
      <c r="D57" s="177"/>
      <c r="E57" s="177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91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D57" s="23"/>
      <c r="AH57" s="82"/>
      <c r="AL57" s="23"/>
    </row>
    <row r="58" spans="1:98" s="79" customFormat="1">
      <c r="A58" s="66"/>
      <c r="C58" s="78"/>
      <c r="D58" s="66"/>
      <c r="H58" s="78"/>
      <c r="I58" s="78"/>
      <c r="J58" s="78"/>
      <c r="K58" s="78"/>
      <c r="N58" s="5"/>
      <c r="O58" s="69"/>
      <c r="P58" s="172"/>
      <c r="Q58" s="69"/>
      <c r="R58" s="69"/>
      <c r="S58" s="69"/>
      <c r="AD58" s="23"/>
      <c r="AH58" s="82"/>
      <c r="AL58" s="23"/>
      <c r="AN58" s="234"/>
      <c r="AO58" s="234"/>
      <c r="AP58" s="69"/>
      <c r="AQ58" s="69"/>
      <c r="AR58" s="69"/>
      <c r="AS58" s="69"/>
      <c r="AT58" s="78"/>
      <c r="AU58" s="78">
        <v>3</v>
      </c>
      <c r="AV58" s="78"/>
    </row>
    <row r="59" spans="1:98" s="79" customFormat="1">
      <c r="A59" s="66"/>
      <c r="D59" s="66"/>
      <c r="E59" s="66"/>
      <c r="N59" s="69"/>
      <c r="O59" s="69"/>
      <c r="P59" s="69"/>
      <c r="Q59" s="69"/>
      <c r="R59" s="69"/>
      <c r="S59" s="69"/>
      <c r="AN59" s="234"/>
      <c r="AO59" s="234"/>
      <c r="AP59" s="69"/>
      <c r="AQ59" s="69"/>
      <c r="AR59" s="69"/>
      <c r="AS59" s="69"/>
      <c r="AU59" s="79">
        <v>1</v>
      </c>
      <c r="AW59" s="79">
        <f>18*60</f>
        <v>1080</v>
      </c>
    </row>
    <row r="60" spans="1:98" s="79" customFormat="1">
      <c r="A60" s="68"/>
      <c r="B60" s="82"/>
      <c r="D60" s="66"/>
      <c r="E60" s="66"/>
      <c r="G60" s="79">
        <v>70000</v>
      </c>
      <c r="I60" s="79">
        <f>+I13</f>
        <v>24260</v>
      </c>
    </row>
    <row r="61" spans="1:98" s="79" customFormat="1">
      <c r="A61" s="66"/>
      <c r="D61" s="66"/>
      <c r="E61" s="66"/>
      <c r="G61" s="79">
        <f>+G60*0.3638</f>
        <v>25466</v>
      </c>
      <c r="I61" s="79">
        <f>+I60*0.3638</f>
        <v>8825.7880000000005</v>
      </c>
    </row>
    <row r="62" spans="1:98" s="79" customFormat="1">
      <c r="C62" s="175"/>
      <c r="D62" s="176"/>
      <c r="E62" s="177"/>
      <c r="F62" s="78"/>
      <c r="G62" s="78"/>
      <c r="H62" s="78"/>
      <c r="I62" s="78"/>
      <c r="J62" s="78"/>
      <c r="K62" s="78"/>
      <c r="L62" s="78"/>
      <c r="M62" s="78"/>
      <c r="N62" s="78"/>
    </row>
    <row r="63" spans="1:98" s="79" customFormat="1">
      <c r="D63" s="66"/>
      <c r="E63" s="66"/>
    </row>
    <row r="64" spans="1:98" s="79" customFormat="1">
      <c r="A64" s="66"/>
      <c r="D64" s="66"/>
      <c r="E64" s="66"/>
    </row>
    <row r="65" spans="1:38" s="79" customFormat="1">
      <c r="A65" s="66"/>
      <c r="D65" s="66"/>
      <c r="E65" s="66"/>
    </row>
    <row r="66" spans="1:38" s="79" customFormat="1">
      <c r="A66" s="66"/>
      <c r="D66" s="66"/>
      <c r="E66" s="66"/>
    </row>
    <row r="67" spans="1:38" s="79" customFormat="1">
      <c r="A67" s="66"/>
      <c r="D67" s="66"/>
      <c r="E67" s="66"/>
    </row>
    <row r="68" spans="1:38" s="79" customFormat="1">
      <c r="A68" s="66"/>
      <c r="D68" s="66"/>
      <c r="E68" s="66"/>
    </row>
    <row r="69" spans="1:38" s="79" customFormat="1">
      <c r="A69" s="66"/>
      <c r="D69" s="66"/>
      <c r="E69" s="66"/>
    </row>
    <row r="70" spans="1:38" s="79" customFormat="1">
      <c r="A70" s="66"/>
      <c r="D70" s="66"/>
      <c r="E70" s="66"/>
    </row>
    <row r="71" spans="1:38" s="79" customFormat="1">
      <c r="A71" s="66"/>
      <c r="D71" s="66"/>
      <c r="E71" s="66"/>
    </row>
    <row r="72" spans="1:38" s="79" customFormat="1">
      <c r="A72" s="66"/>
      <c r="D72" s="66"/>
      <c r="E72" s="66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</row>
    <row r="73" spans="1:38" s="79" customFormat="1">
      <c r="A73" s="66"/>
      <c r="D73" s="66"/>
      <c r="E73" s="66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</row>
    <row r="74" spans="1:38" s="79" customFormat="1">
      <c r="A74" s="66"/>
      <c r="D74" s="66"/>
      <c r="E74" s="66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</row>
    <row r="75" spans="1:38" s="79" customFormat="1">
      <c r="A75" s="66"/>
      <c r="D75" s="66"/>
      <c r="E75" s="66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</row>
    <row r="76" spans="1:38" s="79" customFormat="1">
      <c r="A76" s="66"/>
      <c r="D76" s="66"/>
      <c r="E76" s="66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</row>
    <row r="77" spans="1:38" s="79" customFormat="1">
      <c r="A77" s="66"/>
      <c r="D77" s="66"/>
      <c r="E77" s="66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</row>
    <row r="78" spans="1:38" s="79" customFormat="1">
      <c r="A78" s="66"/>
      <c r="D78" s="66"/>
      <c r="E78" s="66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</row>
    <row r="79" spans="1:38" s="79" customFormat="1">
      <c r="A79" s="66"/>
      <c r="D79" s="66"/>
      <c r="E79" s="66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</row>
    <row r="80" spans="1:38" s="79" customFormat="1">
      <c r="A80" s="66"/>
      <c r="D80" s="66"/>
      <c r="E80" s="66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</row>
    <row r="81" spans="1:46" s="79" customFormat="1">
      <c r="A81" s="66"/>
      <c r="D81" s="66"/>
      <c r="E81" s="66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</row>
    <row r="82" spans="1:46" s="79" customFormat="1">
      <c r="A82" s="66"/>
      <c r="D82" s="66"/>
      <c r="E82" s="66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</row>
    <row r="83" spans="1:46" s="79" customFormat="1">
      <c r="A83" s="66"/>
      <c r="D83" s="66"/>
      <c r="E83" s="66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</row>
    <row r="84" spans="1:46" s="79" customFormat="1">
      <c r="A84" s="66"/>
      <c r="D84" s="66"/>
      <c r="E84" s="66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</row>
    <row r="85" spans="1:46" s="79" customFormat="1">
      <c r="A85" s="66"/>
      <c r="D85" s="66"/>
      <c r="E85" s="66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</row>
    <row r="86" spans="1:46" s="79" customFormat="1">
      <c r="A86" s="66"/>
      <c r="D86" s="66"/>
      <c r="E86" s="66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</row>
    <row r="87" spans="1:46" s="79" customFormat="1">
      <c r="A87" s="66"/>
      <c r="D87" s="66"/>
      <c r="E87" s="66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</row>
    <row r="88" spans="1:46" s="79" customFormat="1">
      <c r="A88" s="66"/>
      <c r="D88" s="66"/>
      <c r="E88" s="66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</row>
    <row r="89" spans="1:46" s="79" customFormat="1">
      <c r="A89" s="66"/>
      <c r="D89" s="66"/>
      <c r="E89" s="66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</row>
    <row r="90" spans="1:46" s="79" customFormat="1">
      <c r="A90" s="66"/>
      <c r="D90" s="66"/>
      <c r="E90" s="66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</row>
    <row r="91" spans="1:46" s="79" customFormat="1">
      <c r="A91" s="66"/>
      <c r="D91" s="66"/>
      <c r="E91" s="66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</row>
    <row r="92" spans="1:46" s="79" customFormat="1">
      <c r="A92" s="66"/>
      <c r="D92" s="66"/>
      <c r="E92" s="66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</row>
    <row r="93" spans="1:46" s="7" customFormat="1">
      <c r="A93" s="173"/>
      <c r="C93" s="79"/>
      <c r="D93" s="66"/>
      <c r="E93" s="66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79"/>
      <c r="AN93" s="79"/>
      <c r="AO93" s="79"/>
      <c r="AP93" s="79"/>
      <c r="AQ93" s="79"/>
      <c r="AR93" s="79"/>
      <c r="AS93" s="79"/>
      <c r="AT93" s="79"/>
    </row>
    <row r="94" spans="1:46" s="7" customFormat="1">
      <c r="A94" s="173"/>
      <c r="C94" s="79"/>
      <c r="D94" s="66"/>
      <c r="E94" s="66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79"/>
      <c r="AN94" s="79"/>
      <c r="AO94" s="79"/>
      <c r="AP94" s="79"/>
      <c r="AQ94" s="79"/>
      <c r="AR94" s="79"/>
      <c r="AS94" s="79"/>
      <c r="AT94" s="79"/>
    </row>
    <row r="95" spans="1:46" s="7" customFormat="1">
      <c r="A95" s="173"/>
      <c r="D95" s="173"/>
      <c r="E95" s="173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79"/>
      <c r="AN95" s="79"/>
      <c r="AO95" s="79"/>
      <c r="AP95" s="79"/>
      <c r="AQ95" s="79"/>
      <c r="AR95" s="79"/>
      <c r="AS95" s="79"/>
      <c r="AT95" s="79"/>
    </row>
    <row r="96" spans="1:46" s="7" customFormat="1">
      <c r="A96" s="173"/>
      <c r="D96" s="173"/>
      <c r="E96" s="173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79"/>
      <c r="AN96" s="79"/>
      <c r="AO96" s="79"/>
      <c r="AP96" s="79"/>
      <c r="AQ96" s="79"/>
      <c r="AR96" s="79"/>
      <c r="AS96" s="79"/>
      <c r="AT96" s="79"/>
    </row>
    <row r="97" spans="1:46" s="7" customFormat="1">
      <c r="A97" s="173"/>
      <c r="D97" s="173"/>
      <c r="E97" s="173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79"/>
      <c r="AN97" s="79"/>
      <c r="AO97" s="79"/>
      <c r="AP97" s="79"/>
      <c r="AQ97" s="79"/>
      <c r="AR97" s="79"/>
      <c r="AS97" s="79"/>
      <c r="AT97" s="79"/>
    </row>
    <row r="98" spans="1:46" s="7" customFormat="1">
      <c r="A98" s="173"/>
      <c r="D98" s="173"/>
      <c r="E98" s="173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79"/>
      <c r="AN98" s="79"/>
      <c r="AO98" s="79"/>
      <c r="AP98" s="79"/>
      <c r="AQ98" s="79"/>
      <c r="AR98" s="79"/>
      <c r="AS98" s="79"/>
      <c r="AT98" s="79"/>
    </row>
    <row r="99" spans="1:46" s="7" customFormat="1">
      <c r="A99" s="173"/>
      <c r="D99" s="173"/>
      <c r="E99" s="173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79"/>
      <c r="AN99" s="79"/>
      <c r="AO99" s="79"/>
      <c r="AP99" s="79"/>
      <c r="AQ99" s="79"/>
      <c r="AR99" s="79"/>
      <c r="AS99" s="79"/>
      <c r="AT99" s="79"/>
    </row>
    <row r="100" spans="1:46" s="7" customFormat="1">
      <c r="A100" s="173"/>
      <c r="D100" s="173"/>
      <c r="E100" s="173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79"/>
      <c r="AN100" s="79"/>
      <c r="AO100" s="79"/>
      <c r="AP100" s="79"/>
      <c r="AQ100" s="79"/>
      <c r="AR100" s="79"/>
      <c r="AS100" s="79"/>
      <c r="AT100" s="79"/>
    </row>
    <row r="101" spans="1:46" s="7" customFormat="1">
      <c r="A101" s="173"/>
      <c r="D101" s="173"/>
      <c r="E101" s="173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79"/>
      <c r="AN101" s="79"/>
      <c r="AO101" s="79"/>
      <c r="AP101" s="79"/>
      <c r="AQ101" s="79"/>
      <c r="AR101" s="79"/>
      <c r="AS101" s="79"/>
      <c r="AT101" s="79"/>
    </row>
    <row r="102" spans="1:46" s="7" customFormat="1">
      <c r="A102" s="173"/>
      <c r="D102" s="173"/>
      <c r="E102" s="173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79"/>
      <c r="AN102" s="79"/>
      <c r="AO102" s="79"/>
      <c r="AP102" s="79"/>
      <c r="AQ102" s="79"/>
      <c r="AR102" s="79"/>
      <c r="AS102" s="79"/>
      <c r="AT102" s="79"/>
    </row>
    <row r="103" spans="1:46" s="7" customFormat="1">
      <c r="A103" s="173"/>
      <c r="D103" s="173"/>
      <c r="E103" s="173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79"/>
      <c r="AN103" s="79"/>
      <c r="AO103" s="79"/>
      <c r="AP103" s="79"/>
      <c r="AQ103" s="79"/>
      <c r="AR103" s="79"/>
      <c r="AS103" s="79"/>
      <c r="AT103" s="79"/>
    </row>
    <row r="104" spans="1:46" s="7" customFormat="1">
      <c r="A104" s="173"/>
      <c r="D104" s="173"/>
      <c r="E104" s="173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79"/>
      <c r="AN104" s="79"/>
      <c r="AO104" s="79"/>
      <c r="AP104" s="79"/>
      <c r="AQ104" s="79"/>
      <c r="AR104" s="79"/>
      <c r="AS104" s="79"/>
      <c r="AT104" s="79"/>
    </row>
    <row r="105" spans="1:46" s="7" customFormat="1">
      <c r="A105" s="173"/>
      <c r="D105" s="173"/>
      <c r="E105" s="173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  <c r="AM105" s="79"/>
      <c r="AN105" s="79"/>
      <c r="AO105" s="79"/>
      <c r="AP105" s="79"/>
      <c r="AQ105" s="79"/>
      <c r="AR105" s="79"/>
      <c r="AS105" s="79"/>
      <c r="AT105" s="79"/>
    </row>
    <row r="106" spans="1:46" s="7" customFormat="1">
      <c r="A106" s="173"/>
      <c r="D106" s="173"/>
      <c r="E106" s="173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  <c r="AM106" s="79"/>
      <c r="AN106" s="79"/>
      <c r="AO106" s="79"/>
      <c r="AP106" s="79"/>
      <c r="AQ106" s="79"/>
      <c r="AR106" s="79"/>
      <c r="AS106" s="79"/>
      <c r="AT106" s="79"/>
    </row>
    <row r="107" spans="1:46" s="7" customFormat="1">
      <c r="A107" s="173"/>
      <c r="D107" s="173"/>
      <c r="E107" s="173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  <c r="AM107" s="79"/>
      <c r="AN107" s="79"/>
      <c r="AO107" s="79"/>
      <c r="AP107" s="79"/>
      <c r="AQ107" s="79"/>
      <c r="AR107" s="79"/>
      <c r="AS107" s="79"/>
      <c r="AT107" s="79"/>
    </row>
  </sheetData>
  <mergeCells count="3">
    <mergeCell ref="L53:M53"/>
    <mergeCell ref="F53:H53"/>
    <mergeCell ref="A4:Z4"/>
  </mergeCells>
  <phoneticPr fontId="1" type="noConversion"/>
  <pageMargins left="0.15748031496062992" right="0.15748031496062992" top="0.15748031496062992" bottom="0.19685039370078741" header="0.19685039370078741" footer="0.15748031496062992"/>
  <pageSetup paperSize="9" scale="50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</vt:lpstr>
      <vt:lpstr>APR!Print_Area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2014-08-28T03:57:37Z</cp:lastPrinted>
  <dcterms:created xsi:type="dcterms:W3CDTF">2006-09-16T00:00:00Z</dcterms:created>
  <dcterms:modified xsi:type="dcterms:W3CDTF">2026-05-04T10:22:46Z</dcterms:modified>
</cp:coreProperties>
</file>